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01\Treco User Data\Glyn.Charles\My Documents\RHI\"/>
    </mc:Choice>
  </mc:AlternateContent>
  <bookViews>
    <workbookView xWindow="0" yWindow="0" windowWidth="11940" windowHeight="5130"/>
  </bookViews>
  <sheets>
    <sheet name="Calc sheet" sheetId="1" r:id="rId1"/>
    <sheet name="Instructions" sheetId="7" r:id="rId2"/>
    <sheet name="Fuel Calcs" sheetId="4" r:id="rId3"/>
    <sheet name="data sheet" sheetId="2" r:id="rId4"/>
    <sheet name="Carbon" sheetId="5" r:id="rId5"/>
    <sheet name="Finance Costings" sheetId="6" r:id="rId6"/>
  </sheets>
  <definedNames>
    <definedName name="existing">'Calc sheet'!$U$10:$U$13</definedName>
    <definedName name="_xlnm.Print_Area" localSheetId="0">'Calc sheet'!$A$1:$Q$53</definedName>
  </definedNames>
  <calcPr calcId="152511"/>
</workbook>
</file>

<file path=xl/calcChain.xml><?xml version="1.0" encoding="utf-8"?>
<calcChain xmlns="http://schemas.openxmlformats.org/spreadsheetml/2006/main">
  <c r="K7" i="1" l="1"/>
  <c r="E7" i="1"/>
  <c r="D16" i="6"/>
  <c r="D15" i="6"/>
  <c r="P22" i="6"/>
  <c r="P23" i="6"/>
  <c r="D8" i="6"/>
  <c r="F23" i="4"/>
  <c r="I23" i="4" s="1"/>
  <c r="K7" i="2" s="1"/>
  <c r="L49" i="1"/>
  <c r="J14" i="5"/>
  <c r="K14" i="5" s="1"/>
  <c r="L14" i="5"/>
  <c r="E8" i="2"/>
  <c r="L11" i="1" s="1"/>
  <c r="K22" i="1" s="1"/>
  <c r="J15" i="5"/>
  <c r="K15" i="5"/>
  <c r="L15" i="5"/>
  <c r="E7" i="2" s="1"/>
  <c r="J16" i="5"/>
  <c r="K16" i="5"/>
  <c r="L16" i="5" s="1"/>
  <c r="E9" i="2" s="1"/>
  <c r="J17" i="5"/>
  <c r="K17" i="5"/>
  <c r="L17" i="5" s="1"/>
  <c r="E10" i="2" s="1"/>
  <c r="J19" i="5"/>
  <c r="J20" i="5"/>
  <c r="J21" i="5"/>
  <c r="J22" i="5"/>
  <c r="J23" i="5"/>
  <c r="J26" i="5"/>
  <c r="J27" i="5"/>
  <c r="J28" i="5"/>
  <c r="J13" i="5"/>
  <c r="K13" i="5"/>
  <c r="L13" i="5"/>
  <c r="I20" i="4"/>
  <c r="D10" i="2" s="1"/>
  <c r="F28" i="4"/>
  <c r="I28" i="4"/>
  <c r="K11" i="2"/>
  <c r="F27" i="4"/>
  <c r="I27" i="4"/>
  <c r="K10" i="2"/>
  <c r="F26" i="4"/>
  <c r="I26" i="4" s="1"/>
  <c r="K9" i="2" s="1"/>
  <c r="D5" i="6"/>
  <c r="I6" i="6"/>
  <c r="F25" i="4"/>
  <c r="I25" i="4"/>
  <c r="K8" i="2" s="1"/>
  <c r="F24" i="4"/>
  <c r="I24" i="4" s="1"/>
  <c r="K6" i="2"/>
  <c r="E11" i="1" s="1"/>
  <c r="I19" i="4"/>
  <c r="D7" i="2"/>
  <c r="I17" i="4"/>
  <c r="D9" i="2" s="1"/>
  <c r="I18" i="4"/>
  <c r="D8" i="2"/>
  <c r="K11" i="1" s="1"/>
  <c r="B25" i="2"/>
  <c r="B26" i="2" s="1"/>
  <c r="B27" i="2" s="1"/>
  <c r="B28" i="2" s="1"/>
  <c r="E3" i="1"/>
  <c r="C29" i="1"/>
  <c r="J14" i="1"/>
  <c r="L25" i="2"/>
  <c r="L26" i="2"/>
  <c r="L27" i="2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J25" i="2"/>
  <c r="J26" i="2"/>
  <c r="J27" i="2"/>
  <c r="J28" i="2" s="1"/>
  <c r="J29" i="2" s="1"/>
  <c r="J30" i="2" s="1"/>
  <c r="J31" i="2" s="1"/>
  <c r="J32" i="2" s="1"/>
  <c r="H25" i="2"/>
  <c r="H26" i="2"/>
  <c r="H27" i="2"/>
  <c r="J26" i="1"/>
  <c r="D14" i="1"/>
  <c r="C30" i="1"/>
  <c r="E5" i="1"/>
  <c r="H28" i="1"/>
  <c r="K28" i="1" s="1"/>
  <c r="C25" i="2"/>
  <c r="E25" i="2" s="1"/>
  <c r="D9" i="6"/>
  <c r="H28" i="2"/>
  <c r="H29" i="2" s="1"/>
  <c r="C26" i="2"/>
  <c r="C31" i="1"/>
  <c r="B29" i="2"/>
  <c r="B30" i="2"/>
  <c r="B31" i="2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J33" i="2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H30" i="2" l="1"/>
  <c r="C34" i="1"/>
  <c r="E33" i="1"/>
  <c r="E37" i="1"/>
  <c r="E40" i="1"/>
  <c r="E44" i="1"/>
  <c r="E31" i="1"/>
  <c r="E30" i="1"/>
  <c r="E41" i="1"/>
  <c r="E42" i="1"/>
  <c r="E43" i="1"/>
  <c r="E34" i="1"/>
  <c r="E35" i="1"/>
  <c r="E36" i="1"/>
  <c r="E45" i="1"/>
  <c r="E38" i="1"/>
  <c r="E46" i="1"/>
  <c r="E48" i="1"/>
  <c r="E47" i="1"/>
  <c r="L6" i="6"/>
  <c r="P6" i="6"/>
  <c r="D11" i="6"/>
  <c r="E26" i="2"/>
  <c r="C27" i="2"/>
  <c r="D37" i="1"/>
  <c r="F37" i="1" s="1"/>
  <c r="D48" i="1"/>
  <c r="F48" i="1" s="1"/>
  <c r="D39" i="1"/>
  <c r="D40" i="1"/>
  <c r="D44" i="1"/>
  <c r="F44" i="1" s="1"/>
  <c r="D45" i="1"/>
  <c r="F45" i="1" s="1"/>
  <c r="D32" i="1"/>
  <c r="D42" i="1"/>
  <c r="F42" i="1" s="1"/>
  <c r="D36" i="1"/>
  <c r="F36" i="1" s="1"/>
  <c r="D47" i="1"/>
  <c r="F47" i="1" s="1"/>
  <c r="D46" i="1"/>
  <c r="D33" i="1"/>
  <c r="F33" i="1" s="1"/>
  <c r="D41" i="1"/>
  <c r="F41" i="1" s="1"/>
  <c r="D43" i="1"/>
  <c r="F43" i="1" s="1"/>
  <c r="D30" i="1"/>
  <c r="F30" i="1" s="1"/>
  <c r="G30" i="1" s="1"/>
  <c r="J30" i="1" s="1"/>
  <c r="D29" i="1"/>
  <c r="E29" i="1"/>
  <c r="C32" i="1"/>
  <c r="D31" i="1"/>
  <c r="F31" i="1" s="1"/>
  <c r="G31" i="1" s="1"/>
  <c r="D38" i="1"/>
  <c r="F38" i="1" s="1"/>
  <c r="D35" i="1"/>
  <c r="F35" i="1" s="1"/>
  <c r="D34" i="1"/>
  <c r="F34" i="1" s="1"/>
  <c r="G34" i="1" s="1"/>
  <c r="E32" i="1"/>
  <c r="C33" i="1"/>
  <c r="E39" i="1"/>
  <c r="E49" i="1" l="1"/>
  <c r="H31" i="2"/>
  <c r="C35" i="1"/>
  <c r="G35" i="1" s="1"/>
  <c r="D49" i="1"/>
  <c r="F29" i="1"/>
  <c r="G33" i="1"/>
  <c r="F40" i="1"/>
  <c r="C28" i="2"/>
  <c r="E27" i="2"/>
  <c r="J31" i="1" s="1"/>
  <c r="Q19" i="6"/>
  <c r="P7" i="6"/>
  <c r="P8" i="6" s="1"/>
  <c r="P9" i="6" s="1"/>
  <c r="P10" i="6" s="1"/>
  <c r="P11" i="6" s="1"/>
  <c r="P12" i="6" s="1"/>
  <c r="P13" i="6" s="1"/>
  <c r="P14" i="6" s="1"/>
  <c r="P15" i="6" s="1"/>
  <c r="P16" i="6" s="1"/>
  <c r="P17" i="6" s="1"/>
  <c r="Q6" i="6"/>
  <c r="Q7" i="6" s="1"/>
  <c r="Q8" i="6" s="1"/>
  <c r="Q9" i="6" s="1"/>
  <c r="Q10" i="6" s="1"/>
  <c r="Q11" i="6" s="1"/>
  <c r="Q12" i="6" s="1"/>
  <c r="Q13" i="6" s="1"/>
  <c r="Q14" i="6" s="1"/>
  <c r="Q15" i="6" s="1"/>
  <c r="Q16" i="6" s="1"/>
  <c r="Q17" i="6" s="1"/>
  <c r="D17" i="6" s="1"/>
  <c r="N23" i="1" s="1"/>
  <c r="F46" i="1"/>
  <c r="F32" i="1"/>
  <c r="G32" i="1" s="1"/>
  <c r="F39" i="1"/>
  <c r="D13" i="6"/>
  <c r="K6" i="6"/>
  <c r="D12" i="6"/>
  <c r="C29" i="2" l="1"/>
  <c r="E28" i="2"/>
  <c r="J32" i="1" s="1"/>
  <c r="F49" i="1"/>
  <c r="G29" i="1"/>
  <c r="H32" i="2"/>
  <c r="C36" i="1"/>
  <c r="B22" i="6"/>
  <c r="N30" i="1" s="1"/>
  <c r="B26" i="6"/>
  <c r="N34" i="1" s="1"/>
  <c r="B24" i="6"/>
  <c r="N32" i="1" s="1"/>
  <c r="B25" i="6"/>
  <c r="N33" i="1" s="1"/>
  <c r="B30" i="6"/>
  <c r="N38" i="1" s="1"/>
  <c r="B27" i="6"/>
  <c r="N35" i="1" s="1"/>
  <c r="B23" i="6"/>
  <c r="N31" i="1" s="1"/>
  <c r="B28" i="6"/>
  <c r="N36" i="1" s="1"/>
  <c r="B21" i="6"/>
  <c r="B29" i="6"/>
  <c r="N37" i="1" s="1"/>
  <c r="G6" i="6"/>
  <c r="K7" i="6"/>
  <c r="K8" i="6" s="1"/>
  <c r="K9" i="6" s="1"/>
  <c r="K10" i="6" s="1"/>
  <c r="K11" i="6" s="1"/>
  <c r="K12" i="6" s="1"/>
  <c r="K13" i="6" s="1"/>
  <c r="K14" i="6" s="1"/>
  <c r="K15" i="6" s="1"/>
  <c r="K16" i="6" s="1"/>
  <c r="K17" i="6" s="1"/>
  <c r="K18" i="6" s="1"/>
  <c r="K19" i="6" s="1"/>
  <c r="K20" i="6" s="1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 s="1"/>
  <c r="K35" i="6" s="1"/>
  <c r="K36" i="6" s="1"/>
  <c r="K37" i="6" s="1"/>
  <c r="K38" i="6" s="1"/>
  <c r="K39" i="6" s="1"/>
  <c r="K40" i="6" s="1"/>
  <c r="K41" i="6" s="1"/>
  <c r="K42" i="6" s="1"/>
  <c r="K43" i="6" s="1"/>
  <c r="K44" i="6" s="1"/>
  <c r="K45" i="6" s="1"/>
  <c r="K46" i="6" s="1"/>
  <c r="K47" i="6" s="1"/>
  <c r="K48" i="6" s="1"/>
  <c r="K49" i="6" s="1"/>
  <c r="K50" i="6" s="1"/>
  <c r="K51" i="6" s="1"/>
  <c r="K52" i="6" s="1"/>
  <c r="K53" i="6" s="1"/>
  <c r="K54" i="6" s="1"/>
  <c r="K55" i="6" s="1"/>
  <c r="K56" i="6" s="1"/>
  <c r="K57" i="6" s="1"/>
  <c r="K58" i="6" s="1"/>
  <c r="K59" i="6" s="1"/>
  <c r="K60" i="6" s="1"/>
  <c r="K61" i="6" s="1"/>
  <c r="K62" i="6" s="1"/>
  <c r="K63" i="6" s="1"/>
  <c r="K64" i="6" s="1"/>
  <c r="K65" i="6" s="1"/>
  <c r="M6" i="6"/>
  <c r="I7" i="6" s="1"/>
  <c r="N29" i="1" l="1"/>
  <c r="N49" i="1" s="1"/>
  <c r="B32" i="6"/>
  <c r="D6" i="6" s="1"/>
  <c r="D7" i="6" s="1"/>
  <c r="J29" i="1"/>
  <c r="K29" i="1" s="1"/>
  <c r="K30" i="1" s="1"/>
  <c r="K31" i="1" s="1"/>
  <c r="K32" i="1" s="1"/>
  <c r="H29" i="1"/>
  <c r="O29" i="1"/>
  <c r="O30" i="1" s="1"/>
  <c r="O31" i="1" s="1"/>
  <c r="O32" i="1" s="1"/>
  <c r="O33" i="1" s="1"/>
  <c r="O34" i="1" s="1"/>
  <c r="O35" i="1" s="1"/>
  <c r="C30" i="2"/>
  <c r="E29" i="2"/>
  <c r="J33" i="1" s="1"/>
  <c r="G7" i="6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M7" i="6"/>
  <c r="I8" i="6" s="1"/>
  <c r="L7" i="6"/>
  <c r="H33" i="2"/>
  <c r="C37" i="1"/>
  <c r="G37" i="1" s="1"/>
  <c r="K66" i="6"/>
  <c r="G36" i="1"/>
  <c r="K33" i="1" l="1"/>
  <c r="C31" i="2"/>
  <c r="E30" i="2"/>
  <c r="J34" i="1" s="1"/>
  <c r="C38" i="1"/>
  <c r="G38" i="1" s="1"/>
  <c r="H34" i="2"/>
  <c r="L8" i="6"/>
  <c r="M8" i="6" s="1"/>
  <c r="I9" i="6" s="1"/>
  <c r="O36" i="1"/>
  <c r="O37" i="1" s="1"/>
  <c r="O38" i="1" s="1"/>
  <c r="H30" i="1"/>
  <c r="L29" i="1"/>
  <c r="A29" i="1" s="1"/>
  <c r="L9" i="6" l="1"/>
  <c r="M9" i="6" s="1"/>
  <c r="I10" i="6" s="1"/>
  <c r="H31" i="1"/>
  <c r="L30" i="1"/>
  <c r="C39" i="1"/>
  <c r="H35" i="2"/>
  <c r="K34" i="1"/>
  <c r="K35" i="1" s="1"/>
  <c r="A30" i="1"/>
  <c r="C32" i="2"/>
  <c r="E31" i="2"/>
  <c r="J35" i="1" s="1"/>
  <c r="L10" i="6" l="1"/>
  <c r="M10" i="6" s="1"/>
  <c r="I11" i="6" s="1"/>
  <c r="G39" i="1"/>
  <c r="H32" i="1"/>
  <c r="L31" i="1"/>
  <c r="A31" i="1" s="1"/>
  <c r="H36" i="2"/>
  <c r="C40" i="1"/>
  <c r="G40" i="1" s="1"/>
  <c r="C33" i="2"/>
  <c r="E32" i="2"/>
  <c r="J36" i="1" s="1"/>
  <c r="K36" i="1" s="1"/>
  <c r="M11" i="6" l="1"/>
  <c r="I12" i="6" s="1"/>
  <c r="L11" i="6"/>
  <c r="C34" i="2"/>
  <c r="E33" i="2"/>
  <c r="J37" i="1" s="1"/>
  <c r="K37" i="1" s="1"/>
  <c r="H33" i="1"/>
  <c r="L32" i="1"/>
  <c r="A32" i="1" s="1"/>
  <c r="H37" i="2"/>
  <c r="C41" i="1"/>
  <c r="G41" i="1" s="1"/>
  <c r="O39" i="1"/>
  <c r="O40" i="1" s="1"/>
  <c r="F20" i="1" l="1"/>
  <c r="H34" i="1"/>
  <c r="L33" i="1"/>
  <c r="A33" i="1" s="1"/>
  <c r="O41" i="1"/>
  <c r="O42" i="1" s="1"/>
  <c r="E34" i="2"/>
  <c r="J38" i="1" s="1"/>
  <c r="K38" i="1" s="1"/>
  <c r="C35" i="2"/>
  <c r="L12" i="6"/>
  <c r="M12" i="6" s="1"/>
  <c r="I13" i="6" s="1"/>
  <c r="H38" i="2"/>
  <c r="C42" i="1"/>
  <c r="G42" i="1" s="1"/>
  <c r="L13" i="6" l="1"/>
  <c r="M13" i="6" s="1"/>
  <c r="I14" i="6" s="1"/>
  <c r="K39" i="1"/>
  <c r="C43" i="1"/>
  <c r="G43" i="1" s="1"/>
  <c r="H39" i="2"/>
  <c r="E35" i="2"/>
  <c r="J39" i="1" s="1"/>
  <c r="C36" i="2"/>
  <c r="H35" i="1"/>
  <c r="L34" i="1"/>
  <c r="A34" i="1" s="1"/>
  <c r="L14" i="6" l="1"/>
  <c r="M14" i="6" s="1"/>
  <c r="I15" i="6" s="1"/>
  <c r="C44" i="1"/>
  <c r="G44" i="1" s="1"/>
  <c r="H40" i="2"/>
  <c r="H36" i="1"/>
  <c r="L35" i="1"/>
  <c r="A35" i="1" s="1"/>
  <c r="E36" i="2"/>
  <c r="J40" i="1" s="1"/>
  <c r="C37" i="2"/>
  <c r="O43" i="1"/>
  <c r="O44" i="1" s="1"/>
  <c r="K40" i="1"/>
  <c r="L15" i="6" l="1"/>
  <c r="M15" i="6" s="1"/>
  <c r="I16" i="6" s="1"/>
  <c r="K41" i="1"/>
  <c r="H37" i="1"/>
  <c r="L36" i="1"/>
  <c r="A36" i="1" s="1"/>
  <c r="C38" i="2"/>
  <c r="E37" i="2"/>
  <c r="J41" i="1" s="1"/>
  <c r="H41" i="2"/>
  <c r="C45" i="1"/>
  <c r="G45" i="1" s="1"/>
  <c r="L16" i="6" l="1"/>
  <c r="M16" i="6" s="1"/>
  <c r="I17" i="6" s="1"/>
  <c r="O45" i="1"/>
  <c r="E38" i="2"/>
  <c r="J42" i="1" s="1"/>
  <c r="C39" i="2"/>
  <c r="C46" i="1"/>
  <c r="G46" i="1" s="1"/>
  <c r="H42" i="2"/>
  <c r="K42" i="1"/>
  <c r="H38" i="1"/>
  <c r="L37" i="1"/>
  <c r="A37" i="1" s="1"/>
  <c r="L17" i="6" l="1"/>
  <c r="M17" i="6" s="1"/>
  <c r="I18" i="6" s="1"/>
  <c r="K43" i="1"/>
  <c r="L38" i="1"/>
  <c r="A38" i="1" s="1"/>
  <c r="H39" i="1"/>
  <c r="C40" i="2"/>
  <c r="E39" i="2"/>
  <c r="J43" i="1" s="1"/>
  <c r="H43" i="2"/>
  <c r="C47" i="1"/>
  <c r="G47" i="1" s="1"/>
  <c r="O46" i="1"/>
  <c r="O47" i="1" s="1"/>
  <c r="L18" i="6" l="1"/>
  <c r="M18" i="6" s="1"/>
  <c r="I19" i="6" s="1"/>
  <c r="L39" i="1"/>
  <c r="A39" i="1" s="1"/>
  <c r="H40" i="1"/>
  <c r="H44" i="2"/>
  <c r="C48" i="1"/>
  <c r="C41" i="2"/>
  <c r="E40" i="2"/>
  <c r="J44" i="1" s="1"/>
  <c r="K44" i="1"/>
  <c r="L19" i="6" l="1"/>
  <c r="M19" i="6" s="1"/>
  <c r="I20" i="6" s="1"/>
  <c r="K45" i="1"/>
  <c r="E41" i="2"/>
  <c r="J45" i="1" s="1"/>
  <c r="C42" i="2"/>
  <c r="H41" i="1"/>
  <c r="L40" i="1"/>
  <c r="A40" i="1" s="1"/>
  <c r="G48" i="1"/>
  <c r="C49" i="1"/>
  <c r="L20" i="6" l="1"/>
  <c r="M20" i="6" s="1"/>
  <c r="I21" i="6" s="1"/>
  <c r="H42" i="1"/>
  <c r="L41" i="1"/>
  <c r="A41" i="1" s="1"/>
  <c r="E42" i="2"/>
  <c r="J46" i="1" s="1"/>
  <c r="K46" i="1" s="1"/>
  <c r="C43" i="2"/>
  <c r="G49" i="1"/>
  <c r="O49" i="1" s="1"/>
  <c r="O48" i="1"/>
  <c r="L21" i="6" l="1"/>
  <c r="M21" i="6" s="1"/>
  <c r="I22" i="6" s="1"/>
  <c r="L42" i="1"/>
  <c r="A42" i="1" s="1"/>
  <c r="H43" i="1"/>
  <c r="C44" i="2"/>
  <c r="E44" i="2" s="1"/>
  <c r="J48" i="1" s="1"/>
  <c r="E43" i="2"/>
  <c r="J47" i="1" s="1"/>
  <c r="K47" i="1" s="1"/>
  <c r="K48" i="1" s="1"/>
  <c r="K21" i="1" s="1"/>
  <c r="L22" i="6" l="1"/>
  <c r="M22" i="6" s="1"/>
  <c r="I23" i="6" s="1"/>
  <c r="L43" i="1"/>
  <c r="A43" i="1" s="1"/>
  <c r="H44" i="1"/>
  <c r="L23" i="6" l="1"/>
  <c r="M23" i="6" s="1"/>
  <c r="I24" i="6" s="1"/>
  <c r="H45" i="1"/>
  <c r="L44" i="1"/>
  <c r="A44" i="1" s="1"/>
  <c r="L24" i="6" l="1"/>
  <c r="M24" i="6" s="1"/>
  <c r="I25" i="6" s="1"/>
  <c r="H46" i="1"/>
  <c r="L45" i="1"/>
  <c r="A45" i="1" s="1"/>
  <c r="L25" i="6" l="1"/>
  <c r="M25" i="6" s="1"/>
  <c r="I26" i="6" s="1"/>
  <c r="L46" i="1"/>
  <c r="A46" i="1" s="1"/>
  <c r="H47" i="1"/>
  <c r="L26" i="6" l="1"/>
  <c r="M26" i="6" s="1"/>
  <c r="I27" i="6" s="1"/>
  <c r="L47" i="1"/>
  <c r="A47" i="1" s="1"/>
  <c r="H48" i="1"/>
  <c r="L27" i="6" l="1"/>
  <c r="M27" i="6" s="1"/>
  <c r="I28" i="6" s="1"/>
  <c r="K20" i="1"/>
  <c r="L48" i="1"/>
  <c r="A48" i="1" s="1"/>
  <c r="L28" i="6" l="1"/>
  <c r="M28" i="6" s="1"/>
  <c r="I29" i="6" s="1"/>
  <c r="L29" i="6" l="1"/>
  <c r="M29" i="6" s="1"/>
  <c r="I30" i="6" s="1"/>
  <c r="L30" i="6" l="1"/>
  <c r="M30" i="6" s="1"/>
  <c r="I31" i="6" s="1"/>
  <c r="L31" i="6" l="1"/>
  <c r="M31" i="6" s="1"/>
  <c r="I32" i="6" s="1"/>
  <c r="L32" i="6" l="1"/>
  <c r="M32" i="6" s="1"/>
  <c r="I33" i="6" s="1"/>
  <c r="L33" i="6" l="1"/>
  <c r="M33" i="6" s="1"/>
  <c r="I34" i="6" s="1"/>
  <c r="L34" i="6" l="1"/>
  <c r="M34" i="6" s="1"/>
  <c r="I35" i="6" s="1"/>
  <c r="L35" i="6" l="1"/>
  <c r="M35" i="6" s="1"/>
  <c r="I36" i="6" s="1"/>
  <c r="L36" i="6" l="1"/>
  <c r="M36" i="6" s="1"/>
  <c r="I37" i="6" s="1"/>
  <c r="L37" i="6" l="1"/>
  <c r="M37" i="6" s="1"/>
  <c r="I38" i="6" s="1"/>
  <c r="L38" i="6" l="1"/>
  <c r="M38" i="6" s="1"/>
  <c r="I39" i="6" s="1"/>
  <c r="L39" i="6" l="1"/>
  <c r="M39" i="6" s="1"/>
  <c r="I40" i="6" s="1"/>
  <c r="L40" i="6" l="1"/>
  <c r="M40" i="6" s="1"/>
  <c r="I41" i="6" s="1"/>
  <c r="L41" i="6" l="1"/>
  <c r="M41" i="6" s="1"/>
  <c r="I42" i="6" s="1"/>
  <c r="L42" i="6" l="1"/>
  <c r="M42" i="6" s="1"/>
  <c r="I43" i="6" s="1"/>
  <c r="L43" i="6" l="1"/>
  <c r="M43" i="6" s="1"/>
  <c r="I44" i="6" s="1"/>
  <c r="L44" i="6" l="1"/>
  <c r="M44" i="6" s="1"/>
  <c r="I45" i="6" s="1"/>
  <c r="L45" i="6" l="1"/>
  <c r="M45" i="6" s="1"/>
  <c r="I46" i="6" s="1"/>
  <c r="L46" i="6" l="1"/>
  <c r="M46" i="6" s="1"/>
  <c r="I47" i="6" s="1"/>
  <c r="L47" i="6" l="1"/>
  <c r="M47" i="6" s="1"/>
  <c r="I48" i="6" s="1"/>
  <c r="L48" i="6" l="1"/>
  <c r="M48" i="6" s="1"/>
  <c r="I49" i="6" s="1"/>
  <c r="L49" i="6" l="1"/>
  <c r="M49" i="6" s="1"/>
  <c r="I50" i="6" s="1"/>
  <c r="L50" i="6" l="1"/>
  <c r="M50" i="6" s="1"/>
  <c r="I51" i="6" s="1"/>
  <c r="L51" i="6" l="1"/>
  <c r="M51" i="6" s="1"/>
  <c r="I52" i="6" s="1"/>
  <c r="L52" i="6" l="1"/>
  <c r="M52" i="6" s="1"/>
  <c r="I53" i="6" s="1"/>
  <c r="L53" i="6" l="1"/>
  <c r="M53" i="6" s="1"/>
  <c r="I54" i="6" s="1"/>
  <c r="L54" i="6" l="1"/>
  <c r="M54" i="6" s="1"/>
  <c r="I55" i="6" s="1"/>
  <c r="L55" i="6" l="1"/>
  <c r="M55" i="6" s="1"/>
  <c r="I56" i="6" s="1"/>
  <c r="L56" i="6" l="1"/>
  <c r="M56" i="6" s="1"/>
  <c r="I57" i="6" s="1"/>
  <c r="L57" i="6" l="1"/>
  <c r="M57" i="6" s="1"/>
  <c r="I58" i="6" s="1"/>
  <c r="L58" i="6" l="1"/>
  <c r="M58" i="6" s="1"/>
  <c r="I59" i="6" s="1"/>
  <c r="L59" i="6" l="1"/>
  <c r="M59" i="6" s="1"/>
  <c r="I60" i="6" s="1"/>
  <c r="L60" i="6" l="1"/>
  <c r="M60" i="6" s="1"/>
  <c r="I61" i="6" s="1"/>
  <c r="L61" i="6" l="1"/>
  <c r="M61" i="6" s="1"/>
  <c r="I62" i="6" s="1"/>
  <c r="L62" i="6" l="1"/>
  <c r="M62" i="6" s="1"/>
  <c r="I63" i="6" s="1"/>
  <c r="L63" i="6" l="1"/>
  <c r="M63" i="6" s="1"/>
  <c r="I64" i="6" s="1"/>
  <c r="L64" i="6" l="1"/>
  <c r="M64" i="6" s="1"/>
  <c r="I65" i="6" s="1"/>
  <c r="L65" i="6" l="1"/>
  <c r="L66" i="6" s="1"/>
  <c r="M65" i="6" l="1"/>
  <c r="M1" i="6" s="1"/>
</calcChain>
</file>

<file path=xl/sharedStrings.xml><?xml version="1.0" encoding="utf-8"?>
<sst xmlns="http://schemas.openxmlformats.org/spreadsheetml/2006/main" count="361" uniqueCount="265">
  <si>
    <t>Kwh</t>
  </si>
  <si>
    <t>Cost of Project (£)</t>
  </si>
  <si>
    <t>Year</t>
  </si>
  <si>
    <t>Logs</t>
  </si>
  <si>
    <t>P/kWh</t>
  </si>
  <si>
    <t>Current Fuel type</t>
  </si>
  <si>
    <t>Mains Gas</t>
  </si>
  <si>
    <t>Heating Oil</t>
  </si>
  <si>
    <t>LPG</t>
  </si>
  <si>
    <t>RHI</t>
  </si>
  <si>
    <t>Saving</t>
  </si>
  <si>
    <t>£</t>
  </si>
  <si>
    <t>Total</t>
  </si>
  <si>
    <t>Fuel</t>
  </si>
  <si>
    <t>Code</t>
  </si>
  <si>
    <t>Fossil Fuel</t>
  </si>
  <si>
    <t>Cost</t>
  </si>
  <si>
    <t>Biomass</t>
  </si>
  <si>
    <t>Annual</t>
  </si>
  <si>
    <t>Gain</t>
  </si>
  <si>
    <t>Inflation</t>
  </si>
  <si>
    <t>Cashflow</t>
  </si>
  <si>
    <t>Net</t>
  </si>
  <si>
    <t>Discounted</t>
  </si>
  <si>
    <t>Select Existing Fuel</t>
  </si>
  <si>
    <t>Fuel Selection</t>
  </si>
  <si>
    <t>New</t>
  </si>
  <si>
    <t>Existing</t>
  </si>
  <si>
    <t>(click on green cell to select from list)</t>
  </si>
  <si>
    <t>Do not delete / move</t>
  </si>
  <si>
    <t>Enter in value in green cell</t>
  </si>
  <si>
    <t>COB %</t>
  </si>
  <si>
    <t>Summary of Results</t>
  </si>
  <si>
    <t>Net Project Cashflow</t>
  </si>
  <si>
    <t>Discounted Cash Flow</t>
  </si>
  <si>
    <t>Biomass Fuel Inflation</t>
  </si>
  <si>
    <t>Fossil Fuel Inflation</t>
  </si>
  <si>
    <t>%</t>
  </si>
  <si>
    <t xml:space="preserve"> (discounted cash flow)</t>
  </si>
  <si>
    <t>Payback</t>
  </si>
  <si>
    <t>Payback Period (yrs)</t>
  </si>
  <si>
    <t>Rate</t>
  </si>
  <si>
    <t>discount</t>
  </si>
  <si>
    <t>Disc</t>
  </si>
  <si>
    <t>Cumulative</t>
  </si>
  <si>
    <t>disc rate</t>
  </si>
  <si>
    <t xml:space="preserve">Disc </t>
  </si>
  <si>
    <t>Calculator</t>
  </si>
  <si>
    <t>(RHI)</t>
  </si>
  <si>
    <t>BIOMASS</t>
  </si>
  <si>
    <t>Fossil</t>
  </si>
  <si>
    <t>Non disc'd</t>
  </si>
  <si>
    <t>Index</t>
  </si>
  <si>
    <t>Cashflow calculations</t>
  </si>
  <si>
    <t>Wood Chip</t>
  </si>
  <si>
    <t xml:space="preserve">Wood Pellet </t>
  </si>
  <si>
    <t>wood chip</t>
  </si>
  <si>
    <t>Renewable Heat Incentive (RHI) Cashflow Calculator</t>
  </si>
  <si>
    <t>DATA SHEET   -For calcuations</t>
  </si>
  <si>
    <t>kWh</t>
  </si>
  <si>
    <t>p/kWh</t>
  </si>
  <si>
    <t xml:space="preserve">Additional </t>
  </si>
  <si>
    <t>Metered usage of Property  -Tariff 1</t>
  </si>
  <si>
    <t>Additional  usage of Property -Tariff 2</t>
  </si>
  <si>
    <t>Boiler Size kWh</t>
  </si>
  <si>
    <t>OIL</t>
  </si>
  <si>
    <t>Unit</t>
  </si>
  <si>
    <t xml:space="preserve">Price Per </t>
  </si>
  <si>
    <t>Litre</t>
  </si>
  <si>
    <t>Per</t>
  </si>
  <si>
    <t xml:space="preserve">Price </t>
  </si>
  <si>
    <t>kW</t>
  </si>
  <si>
    <t>RHI Inflation (index linked)</t>
  </si>
  <si>
    <t>Wood Pellet</t>
  </si>
  <si>
    <t>Tonne</t>
  </si>
  <si>
    <t>Principle</t>
  </si>
  <si>
    <t>Table 5 Gross calorific values for liquid fuels:</t>
  </si>
  <si>
    <t>Liquid fuels</t>
  </si>
  <si>
    <t>kWh/tonne</t>
  </si>
  <si>
    <t>litres/tonne</t>
  </si>
  <si>
    <t>kWh/litre</t>
  </si>
  <si>
    <t>Fuel oil</t>
  </si>
  <si>
    <t>Gas/diesel oil</t>
  </si>
  <si>
    <t>Burning oil</t>
  </si>
  <si>
    <t>Petrol</t>
  </si>
  <si>
    <t>Carbon Trust Standard</t>
  </si>
  <si>
    <t>GAS -mains</t>
  </si>
  <si>
    <t xml:space="preserve">Megajoules conversion to  kWh   divide by 3.6 </t>
  </si>
  <si>
    <t>Kg</t>
  </si>
  <si>
    <t>kg</t>
  </si>
  <si>
    <t>Content</t>
  </si>
  <si>
    <t>Express at Dry matter per Kg</t>
  </si>
  <si>
    <t>Dry Matter -Base 100%</t>
  </si>
  <si>
    <t>Conversion</t>
  </si>
  <si>
    <t xml:space="preserve">Fuel </t>
  </si>
  <si>
    <t>Type</t>
  </si>
  <si>
    <t>DATA -basis of Fuel calculations</t>
  </si>
  <si>
    <t>Periods</t>
  </si>
  <si>
    <t>Payment</t>
  </si>
  <si>
    <t>Month</t>
  </si>
  <si>
    <t>Years</t>
  </si>
  <si>
    <t>Months</t>
  </si>
  <si>
    <t>Finance Charge</t>
  </si>
  <si>
    <t>Carbon Trust</t>
  </si>
  <si>
    <t>Total Payments  (inc Int)</t>
  </si>
  <si>
    <t>Capital</t>
  </si>
  <si>
    <t>Bal B/fwd</t>
  </si>
  <si>
    <t>Flat</t>
  </si>
  <si>
    <t>Monthly</t>
  </si>
  <si>
    <t>APR</t>
  </si>
  <si>
    <t>Interest Calcs</t>
  </si>
  <si>
    <t>Payment -monthly</t>
  </si>
  <si>
    <t>Life Cost</t>
  </si>
  <si>
    <t>Interest</t>
  </si>
  <si>
    <t>O/S Balance</t>
  </si>
  <si>
    <t>is the APR</t>
  </si>
  <si>
    <t>(from front sheet)</t>
  </si>
  <si>
    <t>ONLY CHANGE THE GREEN CELLS</t>
  </si>
  <si>
    <t>s/be Zero</t>
  </si>
  <si>
    <t>Should be Zero or pence!</t>
  </si>
  <si>
    <t>(1314 hrs p/a)</t>
  </si>
  <si>
    <t>(Periods)</t>
  </si>
  <si>
    <t>Miscanthus -chopped</t>
  </si>
  <si>
    <t>Miscanthus -Pellet</t>
  </si>
  <si>
    <t>Cereals</t>
  </si>
  <si>
    <t>Moisture</t>
  </si>
  <si>
    <t>Total kWh</t>
  </si>
  <si>
    <t>RHI Rate  (p /kWh) -Tier 1</t>
  </si>
  <si>
    <t>RHI Rate  (p /kWh) Tier 2</t>
  </si>
  <si>
    <t>Elec</t>
  </si>
  <si>
    <t>Electricity</t>
  </si>
  <si>
    <t>(From Fuel Calcs Page)</t>
  </si>
  <si>
    <t>BIOMASS FUEL TYPE</t>
  </si>
  <si>
    <t>Carbon emissions of different fuels</t>
  </si>
  <si>
    <t>Fuels for heating and power</t>
  </si>
  <si>
    <r>
      <t>These represent figures for the carbon or carbon dioxide emitted by full combustion of each fuel, per unit of energy. Note that life cycle CO</t>
    </r>
    <r>
      <rPr>
        <vertAlign val="subscript"/>
        <sz val="9"/>
        <color indexed="8"/>
        <rFont val="Verdana"/>
        <family val="2"/>
      </rPr>
      <t>2</t>
    </r>
    <r>
      <rPr>
        <sz val="9"/>
        <color indexed="8"/>
        <rFont val="Verdana"/>
        <family val="2"/>
      </rPr>
      <t xml:space="preserve"> emissions depend strongly upon details of supply chains, production techniques, forestry or agricultural practice, transport distances, etc.</t>
    </r>
  </si>
  <si>
    <t>Net calorific value (MJ/kg)</t>
  </si>
  <si>
    <t>Carbon content (%)</t>
  </si>
  <si>
    <r>
      <t>Approx. life cycle CO</t>
    </r>
    <r>
      <rPr>
        <b/>
        <vertAlign val="subscript"/>
        <sz val="9"/>
        <color indexed="9"/>
        <rFont val="Verdana"/>
        <family val="2"/>
      </rPr>
      <t>2</t>
    </r>
    <r>
      <rPr>
        <b/>
        <sz val="9"/>
        <color indexed="9"/>
        <rFont val="Verdana"/>
        <family val="2"/>
      </rPr>
      <t xml:space="preserve"> emissions (including production)</t>
    </r>
  </si>
  <si>
    <t>See note 1</t>
  </si>
  <si>
    <r>
      <t>Annual total CO</t>
    </r>
    <r>
      <rPr>
        <b/>
        <vertAlign val="subscript"/>
        <sz val="9"/>
        <color indexed="9"/>
        <rFont val="Verdana"/>
        <family val="2"/>
      </rPr>
      <t>2</t>
    </r>
    <r>
      <rPr>
        <b/>
        <sz val="9"/>
        <color indexed="9"/>
        <rFont val="Verdana"/>
        <family val="2"/>
      </rPr>
      <t xml:space="preserve"> emissions to heat a typical house</t>
    </r>
  </si>
  <si>
    <t>(20,000 kWh/yr)</t>
  </si>
  <si>
    <t>kg/GJ</t>
  </si>
  <si>
    <t>kg/MWh</t>
  </si>
  <si>
    <t>kg saved compared with oil</t>
  </si>
  <si>
    <t>kg saved compared with gas</t>
  </si>
  <si>
    <t>Hard coal</t>
  </si>
  <si>
    <t>Oil</t>
  </si>
  <si>
    <t>Natural gas</t>
  </si>
  <si>
    <t>(UK grid)</t>
  </si>
  <si>
    <t>-</t>
  </si>
  <si>
    <t>Wood chips</t>
  </si>
  <si>
    <t>(25% MC) Fuel only</t>
  </si>
  <si>
    <t>(25% MC) Including boiler</t>
  </si>
  <si>
    <t>Wood pellets</t>
  </si>
  <si>
    <t>(10% MC starting from dry wood waste)</t>
  </si>
  <si>
    <t>See note 3</t>
  </si>
  <si>
    <t>(10% MC) Including boiler</t>
  </si>
  <si>
    <t>Grasses/straw</t>
  </si>
  <si>
    <t>(15% MC)</t>
  </si>
  <si>
    <t>1.5 to 4</t>
  </si>
  <si>
    <t>5.4 to 15</t>
  </si>
  <si>
    <t>108 to 300</t>
  </si>
  <si>
    <t>6892 to 6700</t>
  </si>
  <si>
    <t>5292 to 5100</t>
  </si>
  <si>
    <t>http://www.biomassenergycentre.org.uk/portal/page?_pageid=75,163182&amp;_dad=portal&amp;_schema=PORTAL</t>
  </si>
  <si>
    <t>Source:   biomass Energy Centre</t>
  </si>
  <si>
    <t>Kg /kWh</t>
  </si>
  <si>
    <t>Grmmes /kWh</t>
  </si>
  <si>
    <t>Est Saving</t>
  </si>
  <si>
    <t>Grammes</t>
  </si>
  <si>
    <r>
      <t>CO</t>
    </r>
    <r>
      <rPr>
        <vertAlign val="subscript"/>
        <sz val="16"/>
        <color indexed="8"/>
        <rFont val="Calibri"/>
        <family val="2"/>
      </rPr>
      <t>2 per kWh</t>
    </r>
  </si>
  <si>
    <t>Pence/kWh</t>
  </si>
  <si>
    <t>Cum Net</t>
  </si>
  <si>
    <t>Discount Rate Calcualtions</t>
  </si>
  <si>
    <t>Inflation Calculations</t>
  </si>
  <si>
    <r>
      <t>CO</t>
    </r>
    <r>
      <rPr>
        <b/>
        <vertAlign val="subscript"/>
        <sz val="9"/>
        <color indexed="9"/>
        <rFont val="Verdana"/>
        <family val="2"/>
      </rPr>
      <t>2</t>
    </r>
    <r>
      <rPr>
        <b/>
        <sz val="9"/>
        <color indexed="9"/>
        <rFont val="Verdana"/>
        <family val="2"/>
      </rPr>
      <t xml:space="preserve"> saving per kWh (Kg)</t>
    </r>
  </si>
  <si>
    <r>
      <t>Estimated CO</t>
    </r>
    <r>
      <rPr>
        <b/>
        <vertAlign val="subscript"/>
        <sz val="14"/>
        <color indexed="9"/>
        <rFont val="Verdana"/>
        <family val="2"/>
      </rPr>
      <t>2</t>
    </r>
    <r>
      <rPr>
        <b/>
        <sz val="14"/>
        <color indexed="9"/>
        <rFont val="Verdana"/>
        <family val="2"/>
      </rPr>
      <t xml:space="preserve"> saving per annum in Tonnes</t>
    </r>
  </si>
  <si>
    <r>
      <rPr>
        <b/>
        <sz val="11"/>
        <color indexed="8"/>
        <rFont val="Calibri"/>
        <family val="2"/>
      </rPr>
      <t>Boiler Sizing</t>
    </r>
    <r>
      <rPr>
        <sz val="11"/>
        <color theme="1"/>
        <rFont val="Calibri"/>
        <family val="2"/>
        <scheme val="minor"/>
      </rPr>
      <t>:  size your boiler according to your current energy usage and profile.</t>
    </r>
  </si>
  <si>
    <t>This equates to 1314 hours at the boilers maximum capacity per annum</t>
  </si>
  <si>
    <t xml:space="preserve">The RHI states that the heating profile is 13.14% of the total annual capacity of the boiler. </t>
  </si>
  <si>
    <t>The purpose of the spreadsheet is to give an indication of the financial return and carbon reduction that could be achieved by the installation of a Biomass Boiler.</t>
  </si>
  <si>
    <t>A Treco representative can help you with sizing this.</t>
  </si>
  <si>
    <t>This sets the first tier of the RHI  (boiler size x 1314)   i.e 100kWh x 1314  = 131,400kWh</t>
  </si>
  <si>
    <t>This is paid at a lower rate if you exceed the Tier 1 Kwh</t>
  </si>
  <si>
    <t>Metered Usage:  Tier 1</t>
  </si>
  <si>
    <t>This is an automatic calculation</t>
  </si>
  <si>
    <t>A Treco representative can help give a provisional cost of your project</t>
  </si>
  <si>
    <t>Select Biomass Fuel</t>
  </si>
  <si>
    <t>Select the fuel you would like to use, the spreadsheet automatically picks up the cost of the fuel</t>
  </si>
  <si>
    <t>Select existing Fuel</t>
  </si>
  <si>
    <t>If your heating profile exceeds the normal 13.14%, then enter the extra kWh usage here.</t>
  </si>
  <si>
    <t>(i.e. if you require heat all year round)  Treco can help you calculate the extra usage if required</t>
  </si>
  <si>
    <t>Fuel prices can be changed by amending the prices on the Fuel calcs tab on the spreadsheet</t>
  </si>
  <si>
    <t>B</t>
  </si>
  <si>
    <t>I</t>
  </si>
  <si>
    <t>O</t>
  </si>
  <si>
    <t>M</t>
  </si>
  <si>
    <t>A</t>
  </si>
  <si>
    <t>S</t>
  </si>
  <si>
    <t>EXISTING FUEL</t>
  </si>
  <si>
    <t>The prices are automatically updated throughout the spreadsheet</t>
  </si>
  <si>
    <t xml:space="preserve">Annual </t>
  </si>
  <si>
    <t>Loan</t>
  </si>
  <si>
    <t>Select Biomass Fuel (select from drop down list)</t>
  </si>
  <si>
    <t>Cost of Project: (Enter value)</t>
  </si>
  <si>
    <t>Additional Usage  Tier 2 (enter additional kWh usage)</t>
  </si>
  <si>
    <t>Cost of borrowing/capital</t>
  </si>
  <si>
    <t xml:space="preserve">Biomass and Fossil Fuel Inflation </t>
  </si>
  <si>
    <t>Both have a drop down list to select the rate of inflation for each type of fuel</t>
  </si>
  <si>
    <t>The spreadsheet will calculate the future cost of the fuel.</t>
  </si>
  <si>
    <t>due to inflation and the opportunity cost of investing.</t>
  </si>
  <si>
    <t>RPI Inflation</t>
  </si>
  <si>
    <t>Normal rate of inflation , RHI will increase by RPI year on year.</t>
  </si>
  <si>
    <t>Select the rate from a drop down box</t>
  </si>
  <si>
    <t>SUMMARY OF RESULTS:</t>
  </si>
  <si>
    <t>Payback in years</t>
  </si>
  <si>
    <t>Time taken to get your money back in a £ for £ calculation</t>
  </si>
  <si>
    <t>Net Project cashflow</t>
  </si>
  <si>
    <t>Discounted cash flow</t>
  </si>
  <si>
    <t>Cash over the life of the project , how much does it earn</t>
  </si>
  <si>
    <t>Cash over the life of the project , discounted to take account the time value of money</t>
  </si>
  <si>
    <t>Carbon Reduction</t>
  </si>
  <si>
    <t>How much does the project save per annum in carbon (Tonnes)</t>
  </si>
  <si>
    <t>Calculated from the exisiting fuel and at least a 96% carbon saving.</t>
  </si>
  <si>
    <t>Year on year calculations</t>
  </si>
  <si>
    <t xml:space="preserve">i) </t>
  </si>
  <si>
    <t>ii)</t>
  </si>
  <si>
    <t>iii)</t>
  </si>
  <si>
    <t>Shows annual RHI income, uplifted for annual inflation</t>
  </si>
  <si>
    <t>Fossil fuel cost , uplifted for fossil fuel inflation</t>
  </si>
  <si>
    <t>Biomass fuel cost , uplifted for biomass fuel inflation</t>
  </si>
  <si>
    <t>Annual fuel saving , Biomass v fossil</t>
  </si>
  <si>
    <t>Annual financial benefit of fuel saving and RHI.</t>
  </si>
  <si>
    <t>Discounted value after discounting for time value of money.</t>
  </si>
  <si>
    <t xml:space="preserve">This calculates the lost value of money through time, i.e money being worth less next year than this  </t>
  </si>
  <si>
    <t>Annual Cost of Loan repayments, with a net cash balance after the payments</t>
  </si>
  <si>
    <t>PP Unit</t>
  </si>
  <si>
    <t xml:space="preserve">Loan Finance </t>
  </si>
  <si>
    <t>Annual Summary</t>
  </si>
  <si>
    <t>monthly</t>
  </si>
  <si>
    <t>Int -from front sheet</t>
  </si>
  <si>
    <t>Annual Int %</t>
  </si>
  <si>
    <t>It will calculate the cost saving of using biomass fuel v existing fossil fuel and the value of income from the Renewable Heat Incentive (RHI).</t>
  </si>
  <si>
    <t>The government do not want to reward you for just running your boiler 24/7 and so have rightly capped the incentive up to Tier 1.</t>
  </si>
  <si>
    <t>Enter the value to the nearest round pound</t>
  </si>
  <si>
    <t>Dependant upon Boiler size, fuel and any additional work  , i.e underground pipe, heat meters etc…</t>
  </si>
  <si>
    <t>Click on the drop down arrow and select from the drop down list</t>
  </si>
  <si>
    <t>You are able to change the cost of the existing fuel and your alternative biomass fuel , from the FUEL tab on the spreadsheet.</t>
  </si>
  <si>
    <t>Select your exisiting fuel , the speadsheet will pick up the cost of that fuel.</t>
  </si>
  <si>
    <t>Corporations will use a cost of capital calculation, i.e.  -how much is the money costing that will fund the project.</t>
  </si>
  <si>
    <t>Cost of Borrowing /Capital.  (Calculates Net Present Value)</t>
  </si>
  <si>
    <t>The dark green cells at the top of the spreadsheet are classed as "input" cells</t>
  </si>
  <si>
    <t>You can enter in the number of years to pay the finance back and change the interest.</t>
  </si>
  <si>
    <t>The cells will show the +ve or -ve balance of the project over time</t>
  </si>
  <si>
    <t xml:space="preserve">Loan Financing the Boiler /Project  (you can change the years and interest rate) </t>
  </si>
  <si>
    <t xml:space="preserve">and its subsequent effect on both heat supply and demand. This estimate is based upon the best available information but is given as a </t>
  </si>
  <si>
    <t xml:space="preserve">guidence only and should not be considered as a guarantee. The RHI calculator is intended to give a 'broad brush' estimation of the </t>
  </si>
  <si>
    <t>financial viability of projects</t>
  </si>
  <si>
    <t>The performance of Microgeneration Solid Biofuel Heating Systems is impossible to predict with certainty due to the variation of the climate</t>
  </si>
  <si>
    <t>Welcome to the Rainbow Heat and Power RHI calculator.</t>
  </si>
  <si>
    <t>If you require any assistance please don’t hesitate to call Ben at Rainbow on 01884 212 044</t>
  </si>
  <si>
    <t>Rainbow Heat and Power  RHI Income Calculator</t>
  </si>
  <si>
    <t>RAINBOW HEAT AND POWER -CARBON SAVINGS CALCULATION</t>
  </si>
  <si>
    <t>Efficiency Finance Funding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</si>
</sst>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-* #,##0.0_-;\-* #,##0.0_-;_-* &quot;-&quot;?_-;_-@_-"/>
    <numFmt numFmtId="167" formatCode="_-&quot;£&quot;* #,##0_-;\-&quot;£&quot;* #,##0_-;_-&quot;£&quot;* &quot;-&quot;??_-;_-@_-"/>
    <numFmt numFmtId="168" formatCode="_-* #,##0.000_-;\-* #,##0.000_-;_-* &quot;-&quot;??_-;_-@_-"/>
    <numFmt numFmtId="169" formatCode="0.0%"/>
  </numFmts>
  <fonts count="3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9"/>
      <color indexed="8"/>
      <name val="Verdana"/>
      <family val="2"/>
    </font>
    <font>
      <vertAlign val="subscript"/>
      <sz val="9"/>
      <color indexed="8"/>
      <name val="Verdana"/>
      <family val="2"/>
    </font>
    <font>
      <b/>
      <sz val="9"/>
      <color indexed="9"/>
      <name val="Verdana"/>
      <family val="2"/>
    </font>
    <font>
      <b/>
      <vertAlign val="subscript"/>
      <sz val="9"/>
      <color indexed="9"/>
      <name val="Verdana"/>
      <family val="2"/>
    </font>
    <font>
      <vertAlign val="subscript"/>
      <sz val="16"/>
      <color indexed="8"/>
      <name val="Calibri"/>
      <family val="2"/>
    </font>
    <font>
      <b/>
      <sz val="14"/>
      <color indexed="9"/>
      <name val="Verdana"/>
      <family val="2"/>
    </font>
    <font>
      <b/>
      <vertAlign val="subscript"/>
      <sz val="14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9"/>
      <color rgb="FFFFFFFF"/>
      <name val="Verdana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i/>
      <sz val="14"/>
      <color theme="1"/>
      <name val="Calibri"/>
      <family val="2"/>
      <scheme val="minor"/>
    </font>
    <font>
      <b/>
      <sz val="14"/>
      <color rgb="FFFFFFFF"/>
      <name val="Verdana"/>
      <family val="2"/>
    </font>
    <font>
      <b/>
      <sz val="2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9"/>
      <color theme="1"/>
      <name val="Verdana"/>
      <family val="2"/>
    </font>
  </fonts>
  <fills count="21">
    <fill>
      <patternFill patternType="none"/>
    </fill>
    <fill>
      <patternFill patternType="gray125"/>
    </fill>
    <fill>
      <patternFill patternType="lightGray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ECA63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65">
    <xf numFmtId="0" fontId="0" fillId="0" borderId="0" xfId="0"/>
    <xf numFmtId="0" fontId="0" fillId="3" borderId="0" xfId="0" applyFill="1"/>
    <xf numFmtId="0" fontId="0" fillId="4" borderId="0" xfId="0" applyFill="1"/>
    <xf numFmtId="0" fontId="0" fillId="4" borderId="0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13" fillId="4" borderId="5" xfId="0" applyFont="1" applyFill="1" applyBorder="1"/>
    <xf numFmtId="0" fontId="13" fillId="4" borderId="6" xfId="0" applyFont="1" applyFill="1" applyBorder="1"/>
    <xf numFmtId="0" fontId="13" fillId="4" borderId="7" xfId="0" applyFont="1" applyFill="1" applyBorder="1"/>
    <xf numFmtId="0" fontId="13" fillId="4" borderId="0" xfId="0" applyFont="1" applyFill="1" applyBorder="1"/>
    <xf numFmtId="0" fontId="13" fillId="4" borderId="1" xfId="0" applyFont="1" applyFill="1" applyBorder="1"/>
    <xf numFmtId="43" fontId="10" fillId="0" borderId="0" xfId="1" applyFont="1"/>
    <xf numFmtId="9" fontId="10" fillId="4" borderId="0" xfId="3" applyFon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8" xfId="0" applyFill="1" applyBorder="1"/>
    <xf numFmtId="0" fontId="0" fillId="6" borderId="0" xfId="0" applyFill="1" applyBorder="1"/>
    <xf numFmtId="0" fontId="0" fillId="6" borderId="1" xfId="0" applyFill="1" applyBorder="1"/>
    <xf numFmtId="0" fontId="0" fillId="7" borderId="5" xfId="0" applyFill="1" applyBorder="1"/>
    <xf numFmtId="0" fontId="13" fillId="7" borderId="6" xfId="0" applyFont="1" applyFill="1" applyBorder="1"/>
    <xf numFmtId="0" fontId="0" fillId="7" borderId="7" xfId="0" applyFill="1" applyBorder="1"/>
    <xf numFmtId="0" fontId="0" fillId="7" borderId="8" xfId="0" applyFill="1" applyBorder="1"/>
    <xf numFmtId="0" fontId="13" fillId="7" borderId="0" xfId="0" applyFont="1" applyFill="1" applyBorder="1"/>
    <xf numFmtId="0" fontId="0" fillId="7" borderId="1" xfId="0" applyFill="1" applyBorder="1"/>
    <xf numFmtId="0" fontId="13" fillId="6" borderId="0" xfId="0" applyFont="1" applyFill="1" applyBorder="1" applyAlignment="1">
      <alignment horizontal="center"/>
    </xf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8" borderId="9" xfId="0" applyFill="1" applyBorder="1"/>
    <xf numFmtId="0" fontId="0" fillId="8" borderId="10" xfId="0" applyFill="1" applyBorder="1"/>
    <xf numFmtId="0" fontId="0" fillId="8" borderId="11" xfId="0" applyFill="1" applyBorder="1"/>
    <xf numFmtId="164" fontId="13" fillId="6" borderId="12" xfId="1" applyNumberFormat="1" applyFont="1" applyFill="1" applyBorder="1"/>
    <xf numFmtId="0" fontId="13" fillId="7" borderId="13" xfId="0" applyFont="1" applyFill="1" applyBorder="1"/>
    <xf numFmtId="164" fontId="10" fillId="6" borderId="14" xfId="1" applyNumberFormat="1" applyFont="1" applyFill="1" applyBorder="1"/>
    <xf numFmtId="164" fontId="13" fillId="6" borderId="15" xfId="1" applyNumberFormat="1" applyFont="1" applyFill="1" applyBorder="1"/>
    <xf numFmtId="0" fontId="13" fillId="7" borderId="16" xfId="0" applyFont="1" applyFill="1" applyBorder="1"/>
    <xf numFmtId="164" fontId="0" fillId="6" borderId="17" xfId="0" applyNumberFormat="1" applyFill="1" applyBorder="1"/>
    <xf numFmtId="164" fontId="13" fillId="6" borderId="18" xfId="1" applyNumberFormat="1" applyFont="1" applyFill="1" applyBorder="1"/>
    <xf numFmtId="164" fontId="10" fillId="6" borderId="17" xfId="1" applyNumberFormat="1" applyFont="1" applyFill="1" applyBorder="1"/>
    <xf numFmtId="0" fontId="0" fillId="7" borderId="13" xfId="0" applyFill="1" applyBorder="1"/>
    <xf numFmtId="0" fontId="0" fillId="7" borderId="14" xfId="0" applyFill="1" applyBorder="1"/>
    <xf numFmtId="0" fontId="0" fillId="6" borderId="14" xfId="0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23" xfId="0" applyFill="1" applyBorder="1"/>
    <xf numFmtId="164" fontId="0" fillId="6" borderId="14" xfId="0" applyNumberFormat="1" applyFill="1" applyBorder="1"/>
    <xf numFmtId="0" fontId="13" fillId="7" borderId="14" xfId="0" applyFont="1" applyFill="1" applyBorder="1" applyAlignment="1">
      <alignment horizontal="center"/>
    </xf>
    <xf numFmtId="0" fontId="13" fillId="7" borderId="17" xfId="0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7" borderId="16" xfId="0" applyFont="1" applyFill="1" applyBorder="1" applyAlignment="1">
      <alignment horizontal="center"/>
    </xf>
    <xf numFmtId="9" fontId="13" fillId="7" borderId="17" xfId="0" applyNumberFormat="1" applyFont="1" applyFill="1" applyBorder="1" applyAlignment="1">
      <alignment horizontal="center"/>
    </xf>
    <xf numFmtId="0" fontId="0" fillId="6" borderId="17" xfId="0" applyFill="1" applyBorder="1"/>
    <xf numFmtId="0" fontId="13" fillId="7" borderId="13" xfId="0" applyFont="1" applyFill="1" applyBorder="1" applyAlignment="1">
      <alignment horizontal="center"/>
    </xf>
    <xf numFmtId="164" fontId="0" fillId="0" borderId="14" xfId="0" applyNumberFormat="1" applyBorder="1"/>
    <xf numFmtId="0" fontId="0" fillId="7" borderId="20" xfId="0" applyFill="1" applyBorder="1"/>
    <xf numFmtId="0" fontId="13" fillId="7" borderId="20" xfId="0" applyFont="1" applyFill="1" applyBorder="1" applyAlignment="1">
      <alignment horizontal="center"/>
    </xf>
    <xf numFmtId="0" fontId="0" fillId="8" borderId="24" xfId="0" applyFill="1" applyBorder="1"/>
    <xf numFmtId="0" fontId="15" fillId="5" borderId="0" xfId="0" applyFont="1" applyFill="1"/>
    <xf numFmtId="164" fontId="10" fillId="3" borderId="24" xfId="1" applyNumberFormat="1" applyFont="1" applyFill="1" applyBorder="1" applyProtection="1">
      <protection locked="0"/>
    </xf>
    <xf numFmtId="166" fontId="0" fillId="5" borderId="0" xfId="0" applyNumberFormat="1" applyFill="1"/>
    <xf numFmtId="164" fontId="0" fillId="6" borderId="0" xfId="0" applyNumberFormat="1" applyFill="1" applyBorder="1"/>
    <xf numFmtId="0" fontId="0" fillId="0" borderId="25" xfId="0" applyBorder="1"/>
    <xf numFmtId="164" fontId="10" fillId="0" borderId="0" xfId="1" applyNumberFormat="1" applyFont="1"/>
    <xf numFmtId="43" fontId="10" fillId="0" borderId="25" xfId="1" applyFont="1" applyBorder="1"/>
    <xf numFmtId="0" fontId="0" fillId="0" borderId="14" xfId="0" applyFill="1" applyBorder="1"/>
    <xf numFmtId="9" fontId="0" fillId="0" borderId="25" xfId="0" applyNumberFormat="1" applyBorder="1"/>
    <xf numFmtId="0" fontId="2" fillId="4" borderId="0" xfId="0" applyFont="1" applyFill="1"/>
    <xf numFmtId="0" fontId="0" fillId="4" borderId="25" xfId="0" applyFill="1" applyBorder="1"/>
    <xf numFmtId="3" fontId="0" fillId="4" borderId="25" xfId="0" applyNumberFormat="1" applyFill="1" applyBorder="1"/>
    <xf numFmtId="0" fontId="13" fillId="0" borderId="0" xfId="0" applyFont="1"/>
    <xf numFmtId="164" fontId="10" fillId="4" borderId="0" xfId="1" applyNumberFormat="1" applyFont="1" applyFill="1"/>
    <xf numFmtId="0" fontId="0" fillId="7" borderId="25" xfId="0" applyFill="1" applyBorder="1"/>
    <xf numFmtId="0" fontId="13" fillId="0" borderId="22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" xfId="0" applyBorder="1"/>
    <xf numFmtId="43" fontId="10" fillId="7" borderId="25" xfId="1" applyFont="1" applyFill="1" applyBorder="1"/>
    <xf numFmtId="0" fontId="13" fillId="0" borderId="26" xfId="0" applyFont="1" applyBorder="1"/>
    <xf numFmtId="0" fontId="13" fillId="0" borderId="20" xfId="0" applyFont="1" applyBorder="1"/>
    <xf numFmtId="0" fontId="13" fillId="0" borderId="27" xfId="0" applyFont="1" applyBorder="1"/>
    <xf numFmtId="0" fontId="13" fillId="0" borderId="28" xfId="0" applyFont="1" applyBorder="1"/>
    <xf numFmtId="0" fontId="13" fillId="0" borderId="29" xfId="0" applyFont="1" applyBorder="1"/>
    <xf numFmtId="0" fontId="13" fillId="7" borderId="30" xfId="0" applyFont="1" applyFill="1" applyBorder="1"/>
    <xf numFmtId="0" fontId="13" fillId="0" borderId="17" xfId="0" applyFont="1" applyBorder="1"/>
    <xf numFmtId="0" fontId="13" fillId="7" borderId="28" xfId="0" applyFont="1" applyFill="1" applyBorder="1"/>
    <xf numFmtId="43" fontId="0" fillId="0" borderId="0" xfId="0" applyNumberFormat="1"/>
    <xf numFmtId="10" fontId="10" fillId="0" borderId="0" xfId="3" applyNumberFormat="1" applyFont="1"/>
    <xf numFmtId="164" fontId="0" fillId="0" borderId="0" xfId="0" applyNumberFormat="1"/>
    <xf numFmtId="10" fontId="10" fillId="4" borderId="4" xfId="3" applyNumberFormat="1" applyFont="1" applyFill="1" applyBorder="1"/>
    <xf numFmtId="0" fontId="14" fillId="6" borderId="5" xfId="0" applyFont="1" applyFill="1" applyBorder="1"/>
    <xf numFmtId="6" fontId="0" fillId="0" borderId="0" xfId="0" applyNumberFormat="1"/>
    <xf numFmtId="164" fontId="13" fillId="0" borderId="0" xfId="1" applyNumberFormat="1" applyFont="1"/>
    <xf numFmtId="43" fontId="13" fillId="0" borderId="0" xfId="1" applyFont="1"/>
    <xf numFmtId="10" fontId="13" fillId="0" borderId="0" xfId="0" applyNumberFormat="1" applyFont="1"/>
    <xf numFmtId="10" fontId="14" fillId="4" borderId="0" xfId="3" applyNumberFormat="1" applyFont="1" applyFill="1"/>
    <xf numFmtId="10" fontId="10" fillId="9" borderId="0" xfId="3" applyNumberFormat="1" applyFont="1" applyFill="1"/>
    <xf numFmtId="10" fontId="10" fillId="4" borderId="31" xfId="3" applyNumberFormat="1" applyFont="1" applyFill="1" applyBorder="1"/>
    <xf numFmtId="0" fontId="13" fillId="3" borderId="0" xfId="0" applyFont="1" applyFill="1"/>
    <xf numFmtId="43" fontId="10" fillId="7" borderId="9" xfId="1" applyFont="1" applyFill="1" applyBorder="1"/>
    <xf numFmtId="0" fontId="0" fillId="7" borderId="11" xfId="0" applyFill="1" applyBorder="1"/>
    <xf numFmtId="0" fontId="0" fillId="10" borderId="9" xfId="0" applyFill="1" applyBorder="1"/>
    <xf numFmtId="0" fontId="0" fillId="10" borderId="10" xfId="0" applyFill="1" applyBorder="1"/>
    <xf numFmtId="43" fontId="0" fillId="10" borderId="11" xfId="0" applyNumberFormat="1" applyFill="1" applyBorder="1"/>
    <xf numFmtId="10" fontId="14" fillId="6" borderId="7" xfId="3" applyNumberFormat="1" applyFont="1" applyFill="1" applyBorder="1" applyProtection="1">
      <protection locked="0"/>
    </xf>
    <xf numFmtId="164" fontId="10" fillId="6" borderId="0" xfId="1" applyNumberFormat="1" applyFont="1" applyFill="1"/>
    <xf numFmtId="164" fontId="10" fillId="11" borderId="0" xfId="1" applyNumberFormat="1" applyFont="1" applyFill="1"/>
    <xf numFmtId="0" fontId="0" fillId="0" borderId="0" xfId="0" applyAlignment="1">
      <alignment horizontal="center"/>
    </xf>
    <xf numFmtId="0" fontId="1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9" fontId="0" fillId="0" borderId="8" xfId="0" applyNumberFormat="1" applyBorder="1"/>
    <xf numFmtId="9" fontId="0" fillId="0" borderId="1" xfId="0" applyNumberFormat="1" applyBorder="1"/>
    <xf numFmtId="9" fontId="0" fillId="0" borderId="2" xfId="0" applyNumberFormat="1" applyBorder="1"/>
    <xf numFmtId="9" fontId="0" fillId="0" borderId="4" xfId="0" applyNumberForma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9" fontId="0" fillId="0" borderId="33" xfId="0" applyNumberFormat="1" applyBorder="1"/>
    <xf numFmtId="9" fontId="0" fillId="0" borderId="34" xfId="0" applyNumberFormat="1" applyBorder="1"/>
    <xf numFmtId="43" fontId="10" fillId="0" borderId="32" xfId="1" applyFont="1" applyBorder="1"/>
    <xf numFmtId="43" fontId="10" fillId="0" borderId="33" xfId="1" applyFont="1" applyBorder="1"/>
    <xf numFmtId="43" fontId="10" fillId="0" borderId="34" xfId="1" applyFont="1" applyBorder="1"/>
    <xf numFmtId="9" fontId="0" fillId="0" borderId="32" xfId="0" applyNumberFormat="1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17" fontId="13" fillId="4" borderId="0" xfId="0" applyNumberFormat="1" applyFont="1" applyFill="1"/>
    <xf numFmtId="0" fontId="13" fillId="7" borderId="27" xfId="0" applyFont="1" applyFill="1" applyBorder="1"/>
    <xf numFmtId="0" fontId="13" fillId="0" borderId="20" xfId="0" applyFont="1" applyBorder="1" applyAlignment="1">
      <alignment horizontal="center"/>
    </xf>
    <xf numFmtId="0" fontId="17" fillId="0" borderId="0" xfId="0" applyFont="1"/>
    <xf numFmtId="0" fontId="0" fillId="3" borderId="0" xfId="0" applyFill="1" applyProtection="1"/>
    <xf numFmtId="0" fontId="18" fillId="0" borderId="0" xfId="0" applyFont="1"/>
    <xf numFmtId="0" fontId="19" fillId="0" borderId="0" xfId="0" applyFont="1"/>
    <xf numFmtId="0" fontId="20" fillId="12" borderId="5" xfId="0" applyFont="1" applyFill="1" applyBorder="1"/>
    <xf numFmtId="0" fontId="20" fillId="12" borderId="6" xfId="0" applyFont="1" applyFill="1" applyBorder="1"/>
    <xf numFmtId="164" fontId="20" fillId="12" borderId="6" xfId="1" applyNumberFormat="1" applyFont="1" applyFill="1" applyBorder="1" applyAlignment="1"/>
    <xf numFmtId="164" fontId="20" fillId="12" borderId="7" xfId="1" applyNumberFormat="1" applyFont="1" applyFill="1" applyBorder="1"/>
    <xf numFmtId="0" fontId="20" fillId="12" borderId="2" xfId="0" applyFont="1" applyFill="1" applyBorder="1"/>
    <xf numFmtId="0" fontId="20" fillId="12" borderId="3" xfId="0" applyFont="1" applyFill="1" applyBorder="1"/>
    <xf numFmtId="0" fontId="0" fillId="13" borderId="0" xfId="0" applyFill="1"/>
    <xf numFmtId="0" fontId="0" fillId="13" borderId="0" xfId="0" applyFill="1" applyAlignment="1">
      <alignment horizontal="left" vertical="top" wrapText="1"/>
    </xf>
    <xf numFmtId="0" fontId="21" fillId="14" borderId="48" xfId="0" applyFont="1" applyFill="1" applyBorder="1" applyAlignment="1">
      <alignment horizontal="center" vertical="center" wrapText="1"/>
    </xf>
    <xf numFmtId="0" fontId="22" fillId="15" borderId="48" xfId="0" applyFont="1" applyFill="1" applyBorder="1" applyAlignment="1">
      <alignment horizontal="center" vertical="center" wrapText="1"/>
    </xf>
    <xf numFmtId="0" fontId="23" fillId="4" borderId="48" xfId="0" applyFont="1" applyFill="1" applyBorder="1" applyAlignment="1">
      <alignment horizontal="center" vertical="center" wrapText="1"/>
    </xf>
    <xf numFmtId="0" fontId="21" fillId="14" borderId="49" xfId="0" applyFont="1" applyFill="1" applyBorder="1" applyAlignment="1">
      <alignment horizontal="center" vertical="center" wrapText="1"/>
    </xf>
    <xf numFmtId="0" fontId="21" fillId="14" borderId="50" xfId="0" applyFont="1" applyFill="1" applyBorder="1" applyAlignment="1">
      <alignment horizontal="center" vertical="center" wrapText="1"/>
    </xf>
    <xf numFmtId="0" fontId="22" fillId="15" borderId="49" xfId="0" applyFont="1" applyFill="1" applyBorder="1" applyAlignment="1">
      <alignment horizontal="center" vertical="center" wrapText="1"/>
    </xf>
    <xf numFmtId="0" fontId="21" fillId="14" borderId="51" xfId="0" applyFont="1" applyFill="1" applyBorder="1" applyAlignment="1">
      <alignment horizontal="center" vertical="center" wrapText="1"/>
    </xf>
    <xf numFmtId="0" fontId="21" fillId="14" borderId="52" xfId="0" applyFont="1" applyFill="1" applyBorder="1" applyAlignment="1">
      <alignment horizontal="center" vertical="center" wrapText="1"/>
    </xf>
    <xf numFmtId="0" fontId="21" fillId="14" borderId="53" xfId="0" applyFont="1" applyFill="1" applyBorder="1" applyAlignment="1">
      <alignment horizontal="center" vertical="center" wrapText="1"/>
    </xf>
    <xf numFmtId="0" fontId="21" fillId="14" borderId="54" xfId="0" applyFont="1" applyFill="1" applyBorder="1" applyAlignment="1">
      <alignment horizontal="center" vertical="center" wrapText="1"/>
    </xf>
    <xf numFmtId="0" fontId="20" fillId="12" borderId="0" xfId="0" applyFont="1" applyFill="1" applyBorder="1"/>
    <xf numFmtId="164" fontId="20" fillId="12" borderId="1" xfId="1" applyNumberFormat="1" applyFont="1" applyFill="1" applyBorder="1"/>
    <xf numFmtId="0" fontId="13" fillId="0" borderId="0" xfId="0" applyFont="1" applyAlignment="1">
      <alignment horizontal="left"/>
    </xf>
    <xf numFmtId="0" fontId="24" fillId="0" borderId="0" xfId="0" applyFont="1"/>
    <xf numFmtId="0" fontId="18" fillId="16" borderId="35" xfId="0" applyFont="1" applyFill="1" applyBorder="1"/>
    <xf numFmtId="0" fontId="25" fillId="16" borderId="36" xfId="0" applyFont="1" applyFill="1" applyBorder="1" applyAlignment="1">
      <alignment horizontal="center" vertical="center"/>
    </xf>
    <xf numFmtId="0" fontId="25" fillId="16" borderId="35" xfId="0" applyFont="1" applyFill="1" applyBorder="1" applyAlignment="1">
      <alignment horizontal="center" vertical="center"/>
    </xf>
    <xf numFmtId="0" fontId="25" fillId="16" borderId="55" xfId="0" applyFont="1" applyFill="1" applyBorder="1" applyAlignment="1">
      <alignment horizontal="center" vertical="center"/>
    </xf>
    <xf numFmtId="165" fontId="18" fillId="16" borderId="37" xfId="0" applyNumberFormat="1" applyFont="1" applyFill="1" applyBorder="1"/>
    <xf numFmtId="165" fontId="10" fillId="9" borderId="0" xfId="1" applyNumberFormat="1" applyFont="1" applyFill="1" applyBorder="1" applyAlignment="1">
      <alignment horizontal="center"/>
    </xf>
    <xf numFmtId="0" fontId="19" fillId="0" borderId="8" xfId="0" applyFont="1" applyBorder="1"/>
    <xf numFmtId="0" fontId="19" fillId="0" borderId="0" xfId="0" applyFont="1" applyBorder="1"/>
    <xf numFmtId="165" fontId="19" fillId="9" borderId="0" xfId="1" applyNumberFormat="1" applyFont="1" applyFill="1" applyBorder="1"/>
    <xf numFmtId="168" fontId="19" fillId="9" borderId="0" xfId="1" applyNumberFormat="1" applyFont="1" applyFill="1" applyBorder="1"/>
    <xf numFmtId="0" fontId="19" fillId="0" borderId="2" xfId="0" applyFont="1" applyBorder="1"/>
    <xf numFmtId="0" fontId="19" fillId="0" borderId="3" xfId="0" applyFont="1" applyBorder="1"/>
    <xf numFmtId="0" fontId="0" fillId="5" borderId="5" xfId="0" applyFill="1" applyBorder="1"/>
    <xf numFmtId="0" fontId="0" fillId="5" borderId="6" xfId="0" applyFill="1" applyBorder="1"/>
    <xf numFmtId="0" fontId="0" fillId="5" borderId="38" xfId="0" applyFill="1" applyBorder="1"/>
    <xf numFmtId="0" fontId="0" fillId="5" borderId="39" xfId="0" applyFill="1" applyBorder="1"/>
    <xf numFmtId="0" fontId="0" fillId="5" borderId="3" xfId="0" applyFill="1" applyBorder="1"/>
    <xf numFmtId="0" fontId="0" fillId="3" borderId="40" xfId="0" applyFill="1" applyBorder="1" applyProtection="1">
      <protection locked="0"/>
    </xf>
    <xf numFmtId="165" fontId="10" fillId="9" borderId="4" xfId="1" applyNumberFormat="1" applyFont="1" applyFill="1" applyBorder="1" applyAlignment="1">
      <alignment horizontal="center"/>
    </xf>
    <xf numFmtId="0" fontId="13" fillId="5" borderId="2" xfId="0" applyFont="1" applyFill="1" applyBorder="1"/>
    <xf numFmtId="0" fontId="0" fillId="5" borderId="10" xfId="0" applyFill="1" applyBorder="1"/>
    <xf numFmtId="165" fontId="10" fillId="9" borderId="10" xfId="1" applyNumberFormat="1" applyFont="1" applyFill="1" applyBorder="1" applyAlignment="1">
      <alignment horizontal="center"/>
    </xf>
    <xf numFmtId="9" fontId="10" fillId="3" borderId="11" xfId="3" applyFont="1" applyFill="1" applyBorder="1" applyProtection="1">
      <protection locked="0"/>
    </xf>
    <xf numFmtId="0" fontId="13" fillId="5" borderId="9" xfId="0" applyFont="1" applyFill="1" applyBorder="1"/>
    <xf numFmtId="0" fontId="0" fillId="5" borderId="41" xfId="0" applyFill="1" applyBorder="1"/>
    <xf numFmtId="0" fontId="0" fillId="3" borderId="15" xfId="0" applyFill="1" applyBorder="1" applyProtection="1">
      <protection locked="0"/>
    </xf>
    <xf numFmtId="165" fontId="10" fillId="9" borderId="40" xfId="1" applyNumberFormat="1" applyFont="1" applyFill="1" applyBorder="1" applyAlignment="1"/>
    <xf numFmtId="0" fontId="26" fillId="17" borderId="0" xfId="0" applyFont="1" applyFill="1"/>
    <xf numFmtId="0" fontId="14" fillId="17" borderId="0" xfId="0" applyFont="1" applyFill="1"/>
    <xf numFmtId="0" fontId="27" fillId="0" borderId="0" xfId="0" applyFont="1"/>
    <xf numFmtId="0" fontId="11" fillId="18" borderId="0" xfId="0" applyFont="1" applyFill="1" applyAlignment="1">
      <alignment horizontal="center"/>
    </xf>
    <xf numFmtId="164" fontId="10" fillId="8" borderId="24" xfId="1" applyNumberFormat="1" applyFont="1" applyFill="1" applyBorder="1"/>
    <xf numFmtId="9" fontId="21" fillId="14" borderId="7" xfId="3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center" wrapText="1"/>
    </xf>
    <xf numFmtId="0" fontId="21" fillId="14" borderId="8" xfId="0" applyFont="1" applyFill="1" applyBorder="1" applyAlignment="1">
      <alignment horizontal="center" vertical="center" wrapText="1"/>
    </xf>
    <xf numFmtId="164" fontId="10" fillId="0" borderId="1" xfId="1" applyNumberFormat="1" applyFont="1" applyBorder="1"/>
    <xf numFmtId="164" fontId="10" fillId="0" borderId="4" xfId="1" applyNumberFormat="1" applyFont="1" applyBorder="1"/>
    <xf numFmtId="10" fontId="13" fillId="11" borderId="31" xfId="0" applyNumberFormat="1" applyFont="1" applyFill="1" applyBorder="1" applyAlignment="1">
      <alignment horizontal="center"/>
    </xf>
    <xf numFmtId="0" fontId="13" fillId="11" borderId="42" xfId="0" applyFont="1" applyFill="1" applyBorder="1" applyAlignment="1">
      <alignment horizontal="center"/>
    </xf>
    <xf numFmtId="0" fontId="13" fillId="11" borderId="31" xfId="0" applyFont="1" applyFill="1" applyBorder="1" applyAlignment="1">
      <alignment horizontal="center"/>
    </xf>
    <xf numFmtId="0" fontId="0" fillId="11" borderId="43" xfId="0" applyFill="1" applyBorder="1" applyAlignment="1">
      <alignment horizontal="center"/>
    </xf>
    <xf numFmtId="0" fontId="0" fillId="11" borderId="44" xfId="0" applyFill="1" applyBorder="1" applyAlignment="1">
      <alignment horizontal="center"/>
    </xf>
    <xf numFmtId="164" fontId="0" fillId="11" borderId="31" xfId="0" applyNumberFormat="1" applyFill="1" applyBorder="1"/>
    <xf numFmtId="164" fontId="0" fillId="11" borderId="42" xfId="0" applyNumberFormat="1" applyFill="1" applyBorder="1"/>
    <xf numFmtId="164" fontId="13" fillId="11" borderId="45" xfId="1" applyNumberFormat="1" applyFont="1" applyFill="1" applyBorder="1"/>
    <xf numFmtId="164" fontId="13" fillId="11" borderId="46" xfId="1" applyNumberFormat="1" applyFont="1" applyFill="1" applyBorder="1"/>
    <xf numFmtId="43" fontId="12" fillId="18" borderId="25" xfId="1" applyFont="1" applyFill="1" applyBorder="1" applyProtection="1">
      <protection locked="0"/>
    </xf>
    <xf numFmtId="164" fontId="10" fillId="9" borderId="0" xfId="1" applyNumberFormat="1" applyFont="1" applyFill="1" applyProtection="1"/>
    <xf numFmtId="0" fontId="0" fillId="2" borderId="25" xfId="0" applyFill="1" applyBorder="1"/>
    <xf numFmtId="167" fontId="10" fillId="2" borderId="25" xfId="2" applyNumberFormat="1" applyFont="1" applyFill="1" applyBorder="1"/>
    <xf numFmtId="43" fontId="13" fillId="0" borderId="25" xfId="1" applyFont="1" applyBorder="1"/>
    <xf numFmtId="0" fontId="13" fillId="0" borderId="25" xfId="0" applyFont="1" applyBorder="1"/>
    <xf numFmtId="0" fontId="13" fillId="0" borderId="25" xfId="0" applyFont="1" applyBorder="1" applyAlignment="1">
      <alignment horizontal="center"/>
    </xf>
    <xf numFmtId="0" fontId="0" fillId="19" borderId="8" xfId="0" applyFill="1" applyBorder="1"/>
    <xf numFmtId="0" fontId="0" fillId="19" borderId="2" xfId="0" applyFill="1" applyBorder="1"/>
    <xf numFmtId="0" fontId="13" fillId="19" borderId="8" xfId="0" applyFont="1" applyFill="1" applyBorder="1"/>
    <xf numFmtId="0" fontId="0" fillId="20" borderId="1" xfId="0" applyFill="1" applyBorder="1"/>
    <xf numFmtId="0" fontId="13" fillId="11" borderId="43" xfId="0" applyFont="1" applyFill="1" applyBorder="1" applyAlignment="1">
      <alignment horizontal="center"/>
    </xf>
    <xf numFmtId="164" fontId="13" fillId="0" borderId="0" xfId="0" applyNumberFormat="1" applyFont="1"/>
    <xf numFmtId="164" fontId="10" fillId="3" borderId="4" xfId="1" applyNumberFormat="1" applyFont="1" applyFill="1" applyBorder="1" applyProtection="1">
      <protection locked="0"/>
    </xf>
    <xf numFmtId="10" fontId="0" fillId="0" borderId="0" xfId="0" applyNumberFormat="1"/>
    <xf numFmtId="9" fontId="10" fillId="4" borderId="0" xfId="3" applyFont="1" applyFill="1" applyBorder="1"/>
    <xf numFmtId="169" fontId="10" fillId="3" borderId="11" xfId="3" applyNumberFormat="1" applyFont="1" applyFill="1" applyBorder="1" applyProtection="1">
      <protection locked="0"/>
    </xf>
    <xf numFmtId="0" fontId="28" fillId="0" borderId="0" xfId="0" applyFont="1"/>
    <xf numFmtId="0" fontId="24" fillId="0" borderId="0" xfId="0" applyFont="1" applyFill="1" applyBorder="1"/>
    <xf numFmtId="0" fontId="21" fillId="14" borderId="6" xfId="0" applyFont="1" applyFill="1" applyBorder="1" applyAlignment="1">
      <alignment horizontal="center" vertical="center" wrapText="1"/>
    </xf>
    <xf numFmtId="0" fontId="21" fillId="14" borderId="7" xfId="0" applyFont="1" applyFill="1" applyBorder="1" applyAlignment="1">
      <alignment horizontal="center" vertical="center" wrapText="1"/>
    </xf>
    <xf numFmtId="168" fontId="10" fillId="9" borderId="12" xfId="1" applyNumberFormat="1" applyFont="1" applyFill="1" applyBorder="1" applyAlignment="1">
      <alignment horizontal="center" vertical="center"/>
    </xf>
    <xf numFmtId="168" fontId="10" fillId="9" borderId="47" xfId="1" applyNumberFormat="1" applyFont="1" applyFill="1" applyBorder="1" applyAlignment="1">
      <alignment horizontal="center" vertical="center"/>
    </xf>
    <xf numFmtId="168" fontId="10" fillId="9" borderId="46" xfId="1" applyNumberFormat="1" applyFont="1" applyFill="1" applyBorder="1" applyAlignment="1">
      <alignment horizontal="center" vertical="center"/>
    </xf>
    <xf numFmtId="164" fontId="13" fillId="11" borderId="36" xfId="0" applyNumberFormat="1" applyFont="1" applyFill="1" applyBorder="1" applyAlignment="1">
      <alignment horizontal="center"/>
    </xf>
    <xf numFmtId="164" fontId="13" fillId="11" borderId="37" xfId="0" applyNumberFormat="1" applyFont="1" applyFill="1" applyBorder="1" applyAlignment="1">
      <alignment horizontal="center"/>
    </xf>
    <xf numFmtId="0" fontId="0" fillId="4" borderId="0" xfId="0" applyFill="1" applyAlignment="1">
      <alignment wrapText="1"/>
    </xf>
    <xf numFmtId="0" fontId="0" fillId="4" borderId="17" xfId="0" applyFill="1" applyBorder="1" applyAlignment="1">
      <alignment wrapText="1"/>
    </xf>
    <xf numFmtId="0" fontId="21" fillId="14" borderId="56" xfId="0" applyFont="1" applyFill="1" applyBorder="1" applyAlignment="1">
      <alignment horizontal="center" vertical="center" wrapText="1"/>
    </xf>
    <xf numFmtId="0" fontId="21" fillId="14" borderId="53" xfId="0" applyFont="1" applyFill="1" applyBorder="1" applyAlignment="1">
      <alignment horizontal="center" vertical="center" wrapText="1"/>
    </xf>
    <xf numFmtId="0" fontId="21" fillId="14" borderId="52" xfId="0" applyFont="1" applyFill="1" applyBorder="1" applyAlignment="1">
      <alignment horizontal="center" vertical="center" wrapText="1"/>
    </xf>
    <xf numFmtId="0" fontId="21" fillId="14" borderId="57" xfId="0" applyFont="1" applyFill="1" applyBorder="1" applyAlignment="1">
      <alignment horizontal="center" vertical="center" wrapText="1"/>
    </xf>
    <xf numFmtId="0" fontId="21" fillId="14" borderId="58" xfId="0" applyFont="1" applyFill="1" applyBorder="1" applyAlignment="1">
      <alignment horizontal="center" vertical="center" wrapText="1"/>
    </xf>
    <xf numFmtId="0" fontId="21" fillId="14" borderId="59" xfId="0" applyFont="1" applyFill="1" applyBorder="1" applyAlignment="1">
      <alignment horizontal="center" vertical="center" wrapText="1"/>
    </xf>
    <xf numFmtId="0" fontId="21" fillId="14" borderId="60" xfId="0" applyFont="1" applyFill="1" applyBorder="1" applyAlignment="1">
      <alignment horizontal="center" vertical="center" wrapText="1"/>
    </xf>
    <xf numFmtId="0" fontId="21" fillId="14" borderId="61" xfId="0" applyFont="1" applyFill="1" applyBorder="1" applyAlignment="1">
      <alignment horizontal="center" vertical="center" wrapText="1"/>
    </xf>
    <xf numFmtId="0" fontId="21" fillId="14" borderId="62" xfId="0" applyFont="1" applyFill="1" applyBorder="1" applyAlignment="1">
      <alignment horizontal="center" vertical="center" wrapText="1"/>
    </xf>
    <xf numFmtId="0" fontId="21" fillId="14" borderId="63" xfId="0" applyFont="1" applyFill="1" applyBorder="1" applyAlignment="1">
      <alignment horizontal="center" vertical="center" wrapText="1"/>
    </xf>
    <xf numFmtId="0" fontId="21" fillId="14" borderId="64" xfId="0" applyFont="1" applyFill="1" applyBorder="1" applyAlignment="1">
      <alignment horizontal="center" vertical="center" wrapText="1"/>
    </xf>
    <xf numFmtId="0" fontId="21" fillId="14" borderId="65" xfId="0" applyFont="1" applyFill="1" applyBorder="1" applyAlignment="1">
      <alignment horizontal="center" vertical="center" wrapText="1"/>
    </xf>
    <xf numFmtId="0" fontId="21" fillId="14" borderId="66" xfId="0" applyFont="1" applyFill="1" applyBorder="1" applyAlignment="1">
      <alignment horizontal="center" vertical="center" wrapText="1"/>
    </xf>
    <xf numFmtId="0" fontId="21" fillId="14" borderId="67" xfId="0" applyFont="1" applyFill="1" applyBorder="1" applyAlignment="1">
      <alignment horizontal="center" vertical="center" wrapText="1"/>
    </xf>
    <xf numFmtId="0" fontId="22" fillId="15" borderId="68" xfId="0" applyFont="1" applyFill="1" applyBorder="1" applyAlignment="1">
      <alignment horizontal="center" vertical="center" wrapText="1"/>
    </xf>
    <xf numFmtId="0" fontId="22" fillId="15" borderId="59" xfId="0" applyFont="1" applyFill="1" applyBorder="1" applyAlignment="1">
      <alignment horizontal="center" vertical="center" wrapText="1"/>
    </xf>
    <xf numFmtId="0" fontId="23" fillId="4" borderId="68" xfId="0" applyFont="1" applyFill="1" applyBorder="1" applyAlignment="1">
      <alignment horizontal="center" vertical="center" wrapText="1"/>
    </xf>
    <xf numFmtId="0" fontId="23" fillId="4" borderId="59" xfId="0" applyFont="1" applyFill="1" applyBorder="1" applyAlignment="1">
      <alignment horizontal="center" vertical="center" wrapText="1"/>
    </xf>
    <xf numFmtId="0" fontId="22" fillId="15" borderId="69" xfId="0" applyFont="1" applyFill="1" applyBorder="1" applyAlignment="1">
      <alignment horizontal="center" vertical="center" wrapText="1"/>
    </xf>
    <xf numFmtId="0" fontId="22" fillId="15" borderId="70" xfId="0" applyFont="1" applyFill="1" applyBorder="1" applyAlignment="1">
      <alignment horizontal="center" vertical="center" wrapText="1"/>
    </xf>
    <xf numFmtId="0" fontId="22" fillId="15" borderId="71" xfId="0" applyFont="1" applyFill="1" applyBorder="1" applyAlignment="1">
      <alignment horizontal="center" vertical="center" wrapText="1"/>
    </xf>
    <xf numFmtId="0" fontId="22" fillId="15" borderId="58" xfId="0" applyFont="1" applyFill="1" applyBorder="1" applyAlignment="1">
      <alignment horizontal="center" vertical="center" wrapText="1"/>
    </xf>
    <xf numFmtId="0" fontId="23" fillId="4" borderId="58" xfId="0" applyFont="1" applyFill="1" applyBorder="1" applyAlignment="1">
      <alignment horizontal="center" vertical="center" wrapText="1"/>
    </xf>
    <xf numFmtId="0" fontId="22" fillId="15" borderId="72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left" vertical="top" wrapText="1"/>
    </xf>
    <xf numFmtId="0" fontId="29" fillId="13" borderId="0" xfId="0" applyFont="1" applyFill="1" applyAlignment="1">
      <alignment horizontal="left" vertical="top" wrapText="1"/>
    </xf>
    <xf numFmtId="0" fontId="22" fillId="15" borderId="73" xfId="0" applyFont="1" applyFill="1" applyBorder="1" applyAlignment="1">
      <alignment horizontal="center" vertical="center" wrapText="1"/>
    </xf>
    <xf numFmtId="0" fontId="23" fillId="4" borderId="73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7</xdr:row>
      <xdr:rowOff>85726</xdr:rowOff>
    </xdr:from>
    <xdr:to>
      <xdr:col>17</xdr:col>
      <xdr:colOff>742950</xdr:colOff>
      <xdr:row>15</xdr:row>
      <xdr:rowOff>66676</xdr:rowOff>
    </xdr:to>
    <xdr:sp macro="" textlink="">
      <xdr:nvSpPr>
        <xdr:cNvPr id="5" name="TextBox 4"/>
        <xdr:cNvSpPr txBox="1"/>
      </xdr:nvSpPr>
      <xdr:spPr>
        <a:xfrm>
          <a:off x="11039475" y="1638301"/>
          <a:ext cx="2895600" cy="15430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/>
            <a:t>Rainbow Heat and Power </a:t>
          </a:r>
          <a:br>
            <a:rPr lang="en-GB"/>
          </a:br>
          <a:r>
            <a:rPr lang="en-GB"/>
            <a:t>Unit 5, Cedar Court</a:t>
          </a:r>
          <a:br>
            <a:rPr lang="en-GB"/>
          </a:br>
          <a:r>
            <a:rPr lang="en-GB"/>
            <a:t>Tiverton Business Park</a:t>
          </a:r>
          <a:br>
            <a:rPr lang="en-GB"/>
          </a:br>
          <a:r>
            <a:rPr lang="en-GB"/>
            <a:t>Tiverton</a:t>
          </a:r>
          <a:br>
            <a:rPr lang="en-GB"/>
          </a:br>
          <a:r>
            <a:rPr lang="en-GB"/>
            <a:t>Devon</a:t>
          </a:r>
          <a:br>
            <a:rPr lang="en-GB"/>
          </a:br>
          <a:r>
            <a:rPr lang="en-GB"/>
            <a:t>EX16 6GT</a:t>
          </a:r>
          <a:br>
            <a:rPr lang="en-GB"/>
          </a:br>
          <a:r>
            <a:rPr lang="en-GB"/>
            <a:t>Email: </a:t>
          </a:r>
          <a:r>
            <a:rPr lang="en-GB">
              <a:hlinkClick xmlns:r="http://schemas.openxmlformats.org/officeDocument/2006/relationships" r:id=""/>
            </a:rPr>
            <a:t>Hello@RainbowHeatandPower.co.uk</a:t>
          </a:r>
          <a:r>
            <a:rPr lang="en-GB"/>
            <a:t/>
          </a:r>
          <a:br>
            <a:rPr lang="en-GB"/>
          </a:br>
          <a:r>
            <a:rPr lang="en-GB"/>
            <a:t>Telephone : 01884 212 044 </a:t>
          </a:r>
          <a:endParaRPr lang="en-GB" sz="1100"/>
        </a:p>
      </xdr:txBody>
    </xdr:sp>
    <xdr:clientData/>
  </xdr:twoCellAnchor>
  <xdr:twoCellAnchor editAs="oneCell">
    <xdr:from>
      <xdr:col>14</xdr:col>
      <xdr:colOff>28576</xdr:colOff>
      <xdr:row>0</xdr:row>
      <xdr:rowOff>76200</xdr:rowOff>
    </xdr:from>
    <xdr:to>
      <xdr:col>17</xdr:col>
      <xdr:colOff>737964</xdr:colOff>
      <xdr:row>6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951" y="76200"/>
          <a:ext cx="2900138" cy="1304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7</xdr:row>
      <xdr:rowOff>104776</xdr:rowOff>
    </xdr:from>
    <xdr:to>
      <xdr:col>16</xdr:col>
      <xdr:colOff>28935</xdr:colOff>
      <xdr:row>15</xdr:row>
      <xdr:rowOff>123826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1514476"/>
          <a:ext cx="3429360" cy="1543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8</xdr:row>
      <xdr:rowOff>0</xdr:rowOff>
    </xdr:from>
    <xdr:to>
      <xdr:col>6</xdr:col>
      <xdr:colOff>95250</xdr:colOff>
      <xdr:row>11</xdr:row>
      <xdr:rowOff>57150</xdr:rowOff>
    </xdr:to>
    <xdr:sp macro="" textlink="">
      <xdr:nvSpPr>
        <xdr:cNvPr id="3" name="TextBox 2"/>
        <xdr:cNvSpPr txBox="1"/>
      </xdr:nvSpPr>
      <xdr:spPr>
        <a:xfrm>
          <a:off x="3629025" y="1743075"/>
          <a:ext cx="809625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Change prices</a:t>
          </a:r>
          <a:r>
            <a:rPr lang="en-GB" sz="1100" baseline="0">
              <a:solidFill>
                <a:srgbClr val="FF0000"/>
              </a:solidFill>
            </a:rPr>
            <a:t> Here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311150</xdr:colOff>
      <xdr:row>11</xdr:row>
      <xdr:rowOff>76200</xdr:rowOff>
    </xdr:from>
    <xdr:to>
      <xdr:col>5</xdr:col>
      <xdr:colOff>311150</xdr:colOff>
      <xdr:row>13</xdr:row>
      <xdr:rowOff>180975</xdr:rowOff>
    </xdr:to>
    <xdr:cxnSp macro="">
      <xdr:nvCxnSpPr>
        <xdr:cNvPr id="5" name="Straight Arrow Connector 4"/>
        <xdr:cNvCxnSpPr/>
      </xdr:nvCxnSpPr>
      <xdr:spPr>
        <a:xfrm>
          <a:off x="3914775" y="2390775"/>
          <a:ext cx="0" cy="4762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330200</xdr:colOff>
      <xdr:row>11</xdr:row>
      <xdr:rowOff>114300</xdr:rowOff>
    </xdr:from>
    <xdr:to>
      <xdr:col>5</xdr:col>
      <xdr:colOff>276294</xdr:colOff>
      <xdr:row>21</xdr:row>
      <xdr:rowOff>38100</xdr:rowOff>
    </xdr:to>
    <xdr:cxnSp macro="">
      <xdr:nvCxnSpPr>
        <xdr:cNvPr id="7" name="Straight Arrow Connector 6"/>
        <xdr:cNvCxnSpPr/>
      </xdr:nvCxnSpPr>
      <xdr:spPr>
        <a:xfrm flipH="1">
          <a:off x="2886075" y="2447925"/>
          <a:ext cx="1000125" cy="2057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19050</xdr:colOff>
      <xdr:row>18</xdr:row>
      <xdr:rowOff>11903</xdr:rowOff>
    </xdr:from>
    <xdr:to>
      <xdr:col>14</xdr:col>
      <xdr:colOff>0</xdr:colOff>
      <xdr:row>24</xdr:row>
      <xdr:rowOff>93662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3688553"/>
          <a:ext cx="3314700" cy="14914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23568</xdr:colOff>
      <xdr:row>0</xdr:row>
      <xdr:rowOff>180975</xdr:rowOff>
    </xdr:from>
    <xdr:to>
      <xdr:col>16</xdr:col>
      <xdr:colOff>9035</xdr:colOff>
      <xdr:row>5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5718" y="180975"/>
          <a:ext cx="2709617" cy="1219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38100</xdr:colOff>
      <xdr:row>5</xdr:row>
      <xdr:rowOff>9525</xdr:rowOff>
    </xdr:to>
    <xdr:pic>
      <xdr:nvPicPr>
        <xdr:cNvPr id="5193" name="Picture 1" descr="http://www.biomassenergycentre.org.uk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287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38100</xdr:colOff>
      <xdr:row>6</xdr:row>
      <xdr:rowOff>38100</xdr:rowOff>
    </xdr:to>
    <xdr:pic>
      <xdr:nvPicPr>
        <xdr:cNvPr id="5194" name="Picture 2" descr="http://www.biomassenergycentre.org.uk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6685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38100</xdr:colOff>
      <xdr:row>7</xdr:row>
      <xdr:rowOff>38100</xdr:rowOff>
    </xdr:to>
    <xdr:pic>
      <xdr:nvPicPr>
        <xdr:cNvPr id="5195" name="Picture 3" descr="http://www.biomassenergycentre.org.uk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735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38100</xdr:colOff>
      <xdr:row>7</xdr:row>
      <xdr:rowOff>9525</xdr:rowOff>
    </xdr:to>
    <xdr:pic>
      <xdr:nvPicPr>
        <xdr:cNvPr id="5196" name="Picture 4" descr="http://www.biomassenergycentre.org.uk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73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9525</xdr:rowOff>
    </xdr:to>
    <xdr:pic>
      <xdr:nvPicPr>
        <xdr:cNvPr id="5197" name="Picture 5" descr="http://www.biomassenergycentre.org.uk/images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7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38100</xdr:colOff>
      <xdr:row>7</xdr:row>
      <xdr:rowOff>9525</xdr:rowOff>
    </xdr:to>
    <xdr:pic>
      <xdr:nvPicPr>
        <xdr:cNvPr id="5198" name="Picture 6" descr="http://www.biomassenergycentre.org.uk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6573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38100</xdr:colOff>
      <xdr:row>7</xdr:row>
      <xdr:rowOff>38100</xdr:rowOff>
    </xdr:to>
    <xdr:pic>
      <xdr:nvPicPr>
        <xdr:cNvPr id="5199" name="Picture 7" descr="http://www.biomassenergycentre.org.uk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735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38100</xdr:colOff>
      <xdr:row>7</xdr:row>
      <xdr:rowOff>38100</xdr:rowOff>
    </xdr:to>
    <xdr:pic>
      <xdr:nvPicPr>
        <xdr:cNvPr id="5200" name="Picture 8" descr="http://www.biomassenergycentre.org.uk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7350"/>
          <a:ext cx="38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38100</xdr:colOff>
      <xdr:row>7</xdr:row>
      <xdr:rowOff>9525</xdr:rowOff>
    </xdr:to>
    <xdr:pic>
      <xdr:nvPicPr>
        <xdr:cNvPr id="5201" name="Picture 9" descr="http://www.biomassenergycentre.org.uk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73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biomassenergycentre.org.uk/portal/page?_pageid=75,163182&amp;_dad=portal&amp;_schema=PORTA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V54"/>
  <sheetViews>
    <sheetView showGridLines="0" showRowColHeaders="0" tabSelected="1" zoomScaleNormal="100" zoomScaleSheetLayoutView="100" workbookViewId="0">
      <selection activeCell="G12" sqref="G12"/>
    </sheetView>
  </sheetViews>
  <sheetFormatPr defaultRowHeight="15" x14ac:dyDescent="0.25"/>
  <cols>
    <col min="1" max="1" width="1.42578125" customWidth="1"/>
    <col min="2" max="2" width="11" customWidth="1"/>
    <col min="3" max="3" width="13.42578125" customWidth="1"/>
    <col min="4" max="4" width="17.140625" customWidth="1"/>
    <col min="5" max="6" width="14.42578125" customWidth="1"/>
    <col min="7" max="7" width="15" customWidth="1"/>
    <col min="8" max="8" width="12.5703125" customWidth="1"/>
    <col min="9" max="9" width="10.42578125" customWidth="1"/>
    <col min="10" max="10" width="11.5703125" customWidth="1"/>
    <col min="11" max="11" width="14" customWidth="1"/>
    <col min="12" max="12" width="10.5703125" customWidth="1"/>
    <col min="13" max="13" width="5.42578125" customWidth="1"/>
    <col min="14" max="14" width="13.5703125" customWidth="1"/>
    <col min="15" max="15" width="15.85546875" customWidth="1"/>
    <col min="16" max="16" width="10.5703125" bestFit="1" customWidth="1"/>
    <col min="17" max="17" width="6.42578125" customWidth="1"/>
    <col min="18" max="18" width="14.42578125" customWidth="1"/>
    <col min="19" max="19" width="11.140625" hidden="1" customWidth="1"/>
    <col min="20" max="20" width="18.42578125" hidden="1" customWidth="1"/>
    <col min="21" max="21" width="12" hidden="1" customWidth="1"/>
    <col min="22" max="22" width="0" hidden="1" customWidth="1"/>
  </cols>
  <sheetData>
    <row r="1" spans="1:22" ht="19.5" thickBot="1" x14ac:dyDescent="0.35">
      <c r="A1" s="15"/>
      <c r="B1" s="61" t="s">
        <v>57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22" ht="24" customHeight="1" thickBot="1" x14ac:dyDescent="0.3">
      <c r="A2" s="15"/>
      <c r="B2" s="30" t="s">
        <v>64</v>
      </c>
      <c r="C2" s="31"/>
      <c r="D2" s="32"/>
      <c r="E2" s="62">
        <v>100</v>
      </c>
      <c r="F2" s="60" t="s">
        <v>71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22" ht="15.75" thickBot="1" x14ac:dyDescent="0.3">
      <c r="A3" s="15"/>
      <c r="B3" s="30" t="s">
        <v>62</v>
      </c>
      <c r="C3" s="31"/>
      <c r="D3" s="32"/>
      <c r="E3" s="194">
        <f>+E2*1314</f>
        <v>131400</v>
      </c>
      <c r="F3" s="60" t="s">
        <v>59</v>
      </c>
      <c r="G3" s="15" t="s">
        <v>120</v>
      </c>
      <c r="H3" s="30" t="s">
        <v>1</v>
      </c>
      <c r="I3" s="32"/>
      <c r="J3" s="32"/>
      <c r="K3" s="62">
        <v>65000</v>
      </c>
      <c r="L3" s="15"/>
      <c r="M3" s="15"/>
      <c r="N3" s="15"/>
      <c r="O3" s="15"/>
      <c r="P3" s="15"/>
      <c r="Q3" s="15"/>
      <c r="R3" s="15"/>
    </row>
    <row r="4" spans="1:22" ht="15.75" thickBot="1" x14ac:dyDescent="0.3">
      <c r="A4" s="15"/>
      <c r="B4" s="30" t="s">
        <v>63</v>
      </c>
      <c r="C4" s="31"/>
      <c r="D4" s="32"/>
      <c r="E4" s="62"/>
      <c r="F4" s="60" t="s">
        <v>59</v>
      </c>
      <c r="G4" s="15"/>
      <c r="H4" s="15" t="s">
        <v>30</v>
      </c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22" ht="15.75" thickBot="1" x14ac:dyDescent="0.3">
      <c r="A5" s="15"/>
      <c r="B5" s="15" t="s">
        <v>126</v>
      </c>
      <c r="C5" s="15"/>
      <c r="D5" s="15"/>
      <c r="E5" s="194">
        <f>+E4+E3</f>
        <v>131400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22" ht="15.75" thickBot="1" x14ac:dyDescent="0.3">
      <c r="A6" s="15"/>
      <c r="B6" s="15"/>
      <c r="C6" s="15"/>
      <c r="D6" s="15"/>
      <c r="E6" s="15"/>
      <c r="F6" s="15"/>
      <c r="G6" s="15"/>
      <c r="H6" s="15" t="s">
        <v>61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8" t="s">
        <v>29</v>
      </c>
      <c r="T6" s="9"/>
      <c r="U6" s="10"/>
      <c r="V6" s="2" t="s">
        <v>31</v>
      </c>
    </row>
    <row r="7" spans="1:22" ht="15.75" thickBot="1" x14ac:dyDescent="0.3">
      <c r="A7" s="15"/>
      <c r="B7" s="30" t="s">
        <v>127</v>
      </c>
      <c r="C7" s="31"/>
      <c r="D7" s="32"/>
      <c r="E7" s="32">
        <f>+IF(E2&gt;999,1,+IF(E2&lt;200,8.6,5))</f>
        <v>8.6</v>
      </c>
      <c r="F7" s="32" t="s">
        <v>59</v>
      </c>
      <c r="G7" s="15"/>
      <c r="H7" s="30" t="s">
        <v>128</v>
      </c>
      <c r="I7" s="31"/>
      <c r="J7" s="32"/>
      <c r="K7" s="32">
        <f>+IF(E2&gt;999,1,+IF(E2&lt;200,2.2,2.1))</f>
        <v>2.2000000000000002</v>
      </c>
      <c r="L7" s="32" t="s">
        <v>59</v>
      </c>
      <c r="M7" s="15"/>
      <c r="N7" s="15"/>
      <c r="O7" s="15"/>
      <c r="P7" s="15"/>
      <c r="Q7" s="15"/>
      <c r="R7" s="15"/>
      <c r="S7" s="218" t="s">
        <v>0</v>
      </c>
      <c r="T7" s="11" t="s">
        <v>25</v>
      </c>
      <c r="U7" s="12"/>
      <c r="V7" s="14">
        <v>0.01</v>
      </c>
    </row>
    <row r="8" spans="1:22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218"/>
      <c r="T8" s="11"/>
      <c r="U8" s="12"/>
      <c r="V8" s="14">
        <v>0.02</v>
      </c>
    </row>
    <row r="9" spans="1:22" ht="15.75" thickBot="1" x14ac:dyDescent="0.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216">
        <v>8.3000000000000007</v>
      </c>
      <c r="T9" s="11" t="s">
        <v>26</v>
      </c>
      <c r="U9" s="12" t="s">
        <v>27</v>
      </c>
      <c r="V9" s="14">
        <v>0.03</v>
      </c>
    </row>
    <row r="10" spans="1:22" x14ac:dyDescent="0.25">
      <c r="A10" s="15"/>
      <c r="B10" s="175"/>
      <c r="C10" s="176"/>
      <c r="D10" s="177" t="s">
        <v>13</v>
      </c>
      <c r="E10" s="178" t="s">
        <v>172</v>
      </c>
      <c r="F10" s="15"/>
      <c r="G10" s="15"/>
      <c r="H10" s="175"/>
      <c r="I10" s="176"/>
      <c r="J10" s="177" t="s">
        <v>14</v>
      </c>
      <c r="K10" s="187" t="s">
        <v>60</v>
      </c>
      <c r="L10" s="228" t="s">
        <v>176</v>
      </c>
      <c r="M10" s="228"/>
      <c r="N10" s="229"/>
      <c r="O10" s="15"/>
      <c r="P10" s="15"/>
      <c r="Q10" s="15"/>
      <c r="R10" s="15"/>
      <c r="S10" s="216">
        <v>5.0999999999999996</v>
      </c>
      <c r="T10" s="3" t="s">
        <v>54</v>
      </c>
      <c r="U10" s="219" t="s">
        <v>6</v>
      </c>
      <c r="V10" s="14">
        <v>0.04</v>
      </c>
    </row>
    <row r="11" spans="1:22" ht="15.75" thickBot="1" x14ac:dyDescent="0.3">
      <c r="A11" s="15"/>
      <c r="B11" s="182" t="s">
        <v>188</v>
      </c>
      <c r="C11" s="179"/>
      <c r="D11" s="180" t="s">
        <v>54</v>
      </c>
      <c r="E11" s="181">
        <f>VLOOKUP(D11,'data sheet'!I6:K11,3,FALSE)</f>
        <v>2.6954177897574123</v>
      </c>
      <c r="F11" s="15"/>
      <c r="G11" s="15"/>
      <c r="H11" s="182" t="s">
        <v>24</v>
      </c>
      <c r="I11" s="179"/>
      <c r="J11" s="188" t="s">
        <v>7</v>
      </c>
      <c r="K11" s="189">
        <f>VLOOKUP('Calc sheet'!J11,'data sheet'!C7:D13,2,FALSE)</f>
        <v>6.3045586808923373</v>
      </c>
      <c r="L11" s="230">
        <f>VLOOKUP('Calc sheet'!J11,'data sheet'!C7:E13,3,FALSE)</f>
        <v>0.33600000000000002</v>
      </c>
      <c r="M11" s="231"/>
      <c r="N11" s="232"/>
      <c r="O11" s="15"/>
      <c r="P11" s="15"/>
      <c r="Q11" s="15"/>
      <c r="R11" s="15"/>
      <c r="S11" s="216">
        <v>2.1</v>
      </c>
      <c r="T11" s="3" t="s">
        <v>55</v>
      </c>
      <c r="U11" s="219" t="s">
        <v>7</v>
      </c>
      <c r="V11" s="14">
        <v>0.05</v>
      </c>
    </row>
    <row r="12" spans="1:22" x14ac:dyDescent="0.25">
      <c r="A12" s="15"/>
      <c r="B12" s="15" t="s">
        <v>28</v>
      </c>
      <c r="C12" s="15"/>
      <c r="D12" s="15"/>
      <c r="E12" s="15"/>
      <c r="F12" s="15"/>
      <c r="G12" s="15"/>
      <c r="H12" s="15" t="s">
        <v>28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216"/>
      <c r="T12" s="3" t="s">
        <v>3</v>
      </c>
      <c r="U12" s="219" t="s">
        <v>8</v>
      </c>
      <c r="V12" s="14">
        <v>0.06</v>
      </c>
    </row>
    <row r="13" spans="1:22" ht="15.75" thickBot="1" x14ac:dyDescent="0.3">
      <c r="A13" s="15"/>
      <c r="B13" s="15"/>
      <c r="C13" s="15"/>
      <c r="D13" s="15"/>
      <c r="E13" s="15" t="s">
        <v>37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216"/>
      <c r="T13" s="138" t="s">
        <v>122</v>
      </c>
      <c r="U13" s="219" t="s">
        <v>129</v>
      </c>
      <c r="V13" s="14">
        <v>7.0000000000000007E-2</v>
      </c>
    </row>
    <row r="14" spans="1:22" ht="15.75" thickBot="1" x14ac:dyDescent="0.3">
      <c r="A14" s="15"/>
      <c r="B14" s="186" t="s">
        <v>35</v>
      </c>
      <c r="C14" s="183"/>
      <c r="D14" s="184" t="str">
        <f>+D11</f>
        <v>Wood Chip</v>
      </c>
      <c r="E14" s="185">
        <v>0.03</v>
      </c>
      <c r="F14" s="15"/>
      <c r="G14" s="15"/>
      <c r="H14" s="186" t="s">
        <v>36</v>
      </c>
      <c r="I14" s="183"/>
      <c r="J14" s="184" t="str">
        <f>+J11</f>
        <v>Heating Oil</v>
      </c>
      <c r="K14" s="185">
        <v>7.0000000000000007E-2</v>
      </c>
      <c r="L14" s="15"/>
      <c r="M14" s="15"/>
      <c r="N14" s="15"/>
      <c r="O14" s="15"/>
      <c r="P14" s="15"/>
      <c r="Q14" s="15"/>
      <c r="R14" s="15"/>
      <c r="S14" s="216"/>
      <c r="T14" s="138" t="s">
        <v>123</v>
      </c>
      <c r="U14" s="219"/>
      <c r="V14" s="14">
        <v>0.08</v>
      </c>
    </row>
    <row r="15" spans="1:22" x14ac:dyDescent="0.25">
      <c r="A15" s="15"/>
      <c r="B15" s="15" t="s">
        <v>28</v>
      </c>
      <c r="C15" s="15"/>
      <c r="D15" s="15"/>
      <c r="E15" s="15"/>
      <c r="F15" s="15"/>
      <c r="G15" s="15"/>
      <c r="H15" s="15" t="s">
        <v>28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216"/>
      <c r="T15" s="138" t="s">
        <v>124</v>
      </c>
      <c r="U15" s="219"/>
      <c r="V15" s="14">
        <v>0.09</v>
      </c>
    </row>
    <row r="16" spans="1:22" ht="15.75" thickBo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216"/>
      <c r="T16" s="3"/>
      <c r="U16" s="4"/>
      <c r="V16" s="14">
        <v>0.1</v>
      </c>
    </row>
    <row r="17" spans="1:22" ht="15.75" thickBot="1" x14ac:dyDescent="0.3">
      <c r="A17" s="15"/>
      <c r="B17" s="186" t="s">
        <v>207</v>
      </c>
      <c r="C17" s="183"/>
      <c r="D17" s="185">
        <v>0.03</v>
      </c>
      <c r="E17" s="15" t="s">
        <v>38</v>
      </c>
      <c r="F17" s="15"/>
      <c r="G17" s="15"/>
      <c r="H17" s="186" t="s">
        <v>72</v>
      </c>
      <c r="I17" s="183"/>
      <c r="J17" s="183"/>
      <c r="K17" s="185">
        <v>0.03</v>
      </c>
      <c r="L17" s="15"/>
      <c r="M17" s="15"/>
      <c r="N17" s="15"/>
      <c r="O17" s="15"/>
      <c r="P17" s="15"/>
      <c r="Q17" s="15"/>
      <c r="R17" s="15"/>
      <c r="S17" s="217"/>
      <c r="T17" s="6"/>
      <c r="U17" s="7"/>
      <c r="V17" s="14">
        <v>0.11</v>
      </c>
    </row>
    <row r="18" spans="1:22" x14ac:dyDescent="0.25">
      <c r="A18" s="15"/>
      <c r="B18" s="15" t="s">
        <v>28</v>
      </c>
      <c r="C18" s="15"/>
      <c r="D18" s="15"/>
      <c r="E18" s="15"/>
      <c r="F18" s="15"/>
      <c r="G18" s="15"/>
      <c r="H18" s="15" t="s">
        <v>28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V18" s="14">
        <v>0.12</v>
      </c>
    </row>
    <row r="19" spans="1:22" ht="15.75" thickBo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6" t="s">
        <v>11</v>
      </c>
      <c r="L19" s="15"/>
      <c r="M19" s="15"/>
      <c r="N19" s="15"/>
      <c r="O19" s="15"/>
      <c r="P19" s="15"/>
      <c r="Q19" s="15"/>
      <c r="R19" s="15"/>
      <c r="V19" s="14">
        <v>0.13</v>
      </c>
    </row>
    <row r="20" spans="1:22" ht="18.75" x14ac:dyDescent="0.3">
      <c r="A20" s="15"/>
      <c r="B20" s="141" t="s">
        <v>32</v>
      </c>
      <c r="C20" s="142"/>
      <c r="D20" s="142" t="s">
        <v>40</v>
      </c>
      <c r="E20" s="142"/>
      <c r="F20" s="143">
        <f>VLOOKUP(B29,A29:B48,2,FALSE)</f>
        <v>4</v>
      </c>
      <c r="G20" s="142"/>
      <c r="H20" s="142" t="s">
        <v>33</v>
      </c>
      <c r="I20" s="142"/>
      <c r="J20" s="142"/>
      <c r="K20" s="144">
        <f>+H48</f>
        <v>483091.50434644287</v>
      </c>
      <c r="L20" s="15"/>
      <c r="M20" s="15"/>
      <c r="N20" s="233" t="s">
        <v>238</v>
      </c>
      <c r="O20" s="234"/>
      <c r="P20" s="15"/>
      <c r="Q20" s="15"/>
      <c r="R20" s="15"/>
      <c r="V20" s="14">
        <v>0.14000000000000001</v>
      </c>
    </row>
    <row r="21" spans="1:22" ht="19.5" thickBot="1" x14ac:dyDescent="0.35">
      <c r="A21" s="15"/>
      <c r="B21" s="145"/>
      <c r="C21" s="146"/>
      <c r="D21" s="146"/>
      <c r="E21" s="146"/>
      <c r="F21" s="146"/>
      <c r="G21" s="159"/>
      <c r="H21" s="159" t="s">
        <v>34</v>
      </c>
      <c r="I21" s="159"/>
      <c r="J21" s="159"/>
      <c r="K21" s="160">
        <f>+K48</f>
        <v>322280.4665197102</v>
      </c>
      <c r="L21" s="15"/>
      <c r="M21" s="15"/>
      <c r="N21" s="220" t="s">
        <v>100</v>
      </c>
      <c r="O21" s="222">
        <v>10</v>
      </c>
      <c r="P21" s="15"/>
      <c r="Q21" s="15"/>
      <c r="R21" s="15"/>
      <c r="V21" s="224">
        <v>0.15</v>
      </c>
    </row>
    <row r="22" spans="1:22" ht="21.75" thickBot="1" x14ac:dyDescent="0.35">
      <c r="A22" s="15"/>
      <c r="B22" s="15"/>
      <c r="C22" s="15"/>
      <c r="D22" s="15"/>
      <c r="E22" s="164"/>
      <c r="F22" s="164"/>
      <c r="G22" s="164" t="s">
        <v>177</v>
      </c>
      <c r="H22" s="165"/>
      <c r="I22" s="166"/>
      <c r="J22" s="163"/>
      <c r="K22" s="167">
        <f>+L11*E5/1000</f>
        <v>44.150400000000005</v>
      </c>
      <c r="L22" s="15"/>
      <c r="M22" s="15"/>
      <c r="N22" s="220" t="s">
        <v>242</v>
      </c>
      <c r="O22" s="225">
        <v>0.06</v>
      </c>
      <c r="P22" s="15"/>
      <c r="Q22" s="15"/>
      <c r="R22" s="15"/>
      <c r="V22" s="224">
        <v>0.16</v>
      </c>
    </row>
    <row r="23" spans="1:22" ht="15.75" thickBot="1" x14ac:dyDescent="0.3">
      <c r="A23" s="15"/>
      <c r="B23" s="15" t="s">
        <v>53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03">
        <f>+'Finance Costings'!D17</f>
        <v>6.1677811864498056E-2</v>
      </c>
      <c r="O23" s="103" t="s">
        <v>115</v>
      </c>
      <c r="P23" s="63"/>
      <c r="Q23" s="15"/>
      <c r="R23" s="63"/>
      <c r="V23" s="224">
        <v>0.17</v>
      </c>
    </row>
    <row r="24" spans="1:22" x14ac:dyDescent="0.25">
      <c r="A24" s="20"/>
      <c r="B24" s="41"/>
      <c r="C24" s="21"/>
      <c r="D24" s="34"/>
      <c r="E24" s="34"/>
      <c r="F24" s="56" t="s">
        <v>22</v>
      </c>
      <c r="G24" s="37"/>
      <c r="H24" s="56" t="s">
        <v>22</v>
      </c>
      <c r="I24" s="56"/>
      <c r="J24" s="53" t="s">
        <v>23</v>
      </c>
      <c r="K24" s="56" t="s">
        <v>22</v>
      </c>
      <c r="L24" s="22"/>
      <c r="M24" s="15"/>
      <c r="N24" s="200" t="s">
        <v>202</v>
      </c>
      <c r="O24" s="201" t="s">
        <v>173</v>
      </c>
      <c r="P24" s="63"/>
      <c r="Q24" s="15"/>
      <c r="R24" s="15"/>
      <c r="V24" s="224">
        <v>0.18</v>
      </c>
    </row>
    <row r="25" spans="1:22" x14ac:dyDescent="0.25">
      <c r="A25" s="23"/>
      <c r="B25" s="42"/>
      <c r="C25" s="52" t="s">
        <v>9</v>
      </c>
      <c r="D25" s="50" t="s">
        <v>15</v>
      </c>
      <c r="E25" s="50" t="s">
        <v>17</v>
      </c>
      <c r="F25" s="50" t="s">
        <v>13</v>
      </c>
      <c r="G25" s="51" t="s">
        <v>18</v>
      </c>
      <c r="H25" s="50" t="s">
        <v>21</v>
      </c>
      <c r="I25" s="50"/>
      <c r="J25" s="51" t="s">
        <v>21</v>
      </c>
      <c r="K25" s="50" t="s">
        <v>46</v>
      </c>
      <c r="L25" s="25"/>
      <c r="M25" s="15"/>
      <c r="N25" s="202" t="s">
        <v>203</v>
      </c>
      <c r="O25" s="201" t="s">
        <v>21</v>
      </c>
      <c r="P25" s="63"/>
      <c r="Q25" s="15"/>
      <c r="R25" s="15"/>
      <c r="V25" s="224">
        <v>0.19</v>
      </c>
    </row>
    <row r="26" spans="1:22" x14ac:dyDescent="0.25">
      <c r="A26" s="23"/>
      <c r="B26" s="42"/>
      <c r="C26" s="24"/>
      <c r="D26" s="50" t="s">
        <v>16</v>
      </c>
      <c r="E26" s="50" t="s">
        <v>16</v>
      </c>
      <c r="F26" s="50" t="s">
        <v>10</v>
      </c>
      <c r="G26" s="51" t="s">
        <v>19</v>
      </c>
      <c r="H26" s="50" t="s">
        <v>51</v>
      </c>
      <c r="I26" s="50"/>
      <c r="J26" s="54">
        <f>+D17</f>
        <v>0.03</v>
      </c>
      <c r="K26" s="50" t="s">
        <v>21</v>
      </c>
      <c r="L26" s="25" t="s">
        <v>39</v>
      </c>
      <c r="M26" s="15"/>
      <c r="N26" s="202" t="s">
        <v>16</v>
      </c>
      <c r="O26" s="201" t="s">
        <v>51</v>
      </c>
      <c r="P26" s="63"/>
      <c r="Q26" s="15"/>
      <c r="R26" s="15"/>
      <c r="V26" s="224">
        <v>0.2</v>
      </c>
    </row>
    <row r="27" spans="1:22" x14ac:dyDescent="0.25">
      <c r="A27" s="44"/>
      <c r="B27" s="59" t="s">
        <v>2</v>
      </c>
      <c r="C27" s="46" t="s">
        <v>11</v>
      </c>
      <c r="D27" s="45" t="s">
        <v>11</v>
      </c>
      <c r="E27" s="45" t="s">
        <v>11</v>
      </c>
      <c r="F27" s="45" t="s">
        <v>11</v>
      </c>
      <c r="G27" s="47" t="s">
        <v>11</v>
      </c>
      <c r="H27" s="45" t="s">
        <v>11</v>
      </c>
      <c r="I27" s="45"/>
      <c r="J27" s="47" t="s">
        <v>11</v>
      </c>
      <c r="K27" s="58"/>
      <c r="L27" s="48" t="s">
        <v>52</v>
      </c>
      <c r="M27" s="15"/>
      <c r="N27" s="203" t="s">
        <v>11</v>
      </c>
      <c r="O27" s="204" t="s">
        <v>11</v>
      </c>
      <c r="P27" s="63"/>
      <c r="Q27" s="15"/>
      <c r="R27" s="15"/>
    </row>
    <row r="28" spans="1:22" x14ac:dyDescent="0.25">
      <c r="A28" s="17">
        <v>0</v>
      </c>
      <c r="B28" s="43">
        <v>0</v>
      </c>
      <c r="C28" s="40">
        <v>0</v>
      </c>
      <c r="D28" s="35">
        <v>0</v>
      </c>
      <c r="E28" s="35">
        <v>0</v>
      </c>
      <c r="F28" s="49">
        <v>0</v>
      </c>
      <c r="G28" s="38">
        <v>0</v>
      </c>
      <c r="H28" s="57">
        <f>-K3</f>
        <v>-65000</v>
      </c>
      <c r="I28" s="49"/>
      <c r="J28" s="55"/>
      <c r="K28" s="57">
        <f>+H28</f>
        <v>-65000</v>
      </c>
      <c r="L28" s="19">
        <v>0</v>
      </c>
      <c r="M28" s="15"/>
      <c r="N28" s="205"/>
      <c r="O28" s="206"/>
      <c r="P28" s="63"/>
      <c r="Q28" s="15"/>
      <c r="R28" s="15"/>
    </row>
    <row r="29" spans="1:22" x14ac:dyDescent="0.25">
      <c r="A29" s="17">
        <f>+L29</f>
        <v>0</v>
      </c>
      <c r="B29" s="43">
        <v>1</v>
      </c>
      <c r="C29" s="40">
        <f>(+$E$3*$E$7/100)+(+$E$4*$K$7/100)</f>
        <v>11300.4</v>
      </c>
      <c r="D29" s="35">
        <f>(+$E$3*$K$11)/100+(+$E$4*$K$11)/100</f>
        <v>8284.1901066925311</v>
      </c>
      <c r="E29" s="35">
        <f>(+$E$3*$E$11/100)+(+$E$4*$E$11/100)</f>
        <v>3541.7789757412397</v>
      </c>
      <c r="F29" s="49">
        <f t="shared" ref="F29:F41" si="0">+D29-E29</f>
        <v>4742.4111309512919</v>
      </c>
      <c r="G29" s="38">
        <f t="shared" ref="G29:G41" si="1">+F29+C29</f>
        <v>16042.811130951291</v>
      </c>
      <c r="H29" s="57">
        <f>+H28+G29</f>
        <v>-48957.18886904871</v>
      </c>
      <c r="I29" s="49"/>
      <c r="J29" s="40">
        <f>+G29*'data sheet'!E25</f>
        <v>15575.544787331351</v>
      </c>
      <c r="K29" s="57">
        <f>+K28+J29</f>
        <v>-49424.455212668647</v>
      </c>
      <c r="L29" s="19">
        <f t="shared" ref="L29:L42" si="2">IF(H29&gt;0,1,0)</f>
        <v>0</v>
      </c>
      <c r="M29" s="15">
        <v>1</v>
      </c>
      <c r="N29" s="205">
        <f>+'Finance Costings'!B21</f>
        <v>8659.5991514486559</v>
      </c>
      <c r="O29" s="206">
        <f>+G29-N29</f>
        <v>7383.2119795026356</v>
      </c>
      <c r="P29" s="63"/>
      <c r="Q29" s="15"/>
      <c r="R29" s="15"/>
    </row>
    <row r="30" spans="1:22" x14ac:dyDescent="0.25">
      <c r="A30" s="17">
        <f t="shared" ref="A30:A42" si="3">+A29+L30</f>
        <v>0</v>
      </c>
      <c r="B30" s="43">
        <v>2</v>
      </c>
      <c r="C30" s="40">
        <f>((+$E$3*$E$7/100)+(+$E$4*$K$7/100))*'data sheet'!H25</f>
        <v>11639.412</v>
      </c>
      <c r="D30" s="35">
        <f>((+$E$3*$K$11)/100+(+$E$4*$K$11)/100)*'data sheet'!L25</f>
        <v>8864.0834141610085</v>
      </c>
      <c r="E30" s="35">
        <f>((+$E$3*$E$11/100)+(+$E$4*$E$11/100))*'data sheet'!J25</f>
        <v>3648.032345013477</v>
      </c>
      <c r="F30" s="49">
        <f t="shared" si="0"/>
        <v>5216.051069147532</v>
      </c>
      <c r="G30" s="38">
        <f t="shared" si="1"/>
        <v>16855.463069147532</v>
      </c>
      <c r="H30" s="57">
        <f t="shared" ref="H30:H41" si="4">+H29+G30</f>
        <v>-32101.725799901178</v>
      </c>
      <c r="I30" s="49"/>
      <c r="J30" s="40">
        <f>+G30*'data sheet'!E26</f>
        <v>15887.890535533539</v>
      </c>
      <c r="K30" s="57">
        <f t="shared" ref="K30:K42" si="5">+K29+J30</f>
        <v>-33536.564677135109</v>
      </c>
      <c r="L30" s="19">
        <f t="shared" si="2"/>
        <v>0</v>
      </c>
      <c r="M30" s="15">
        <v>2</v>
      </c>
      <c r="N30" s="205">
        <f>+'Finance Costings'!B22</f>
        <v>8659.5991514486559</v>
      </c>
      <c r="O30" s="206">
        <f>+O29+G30-N30</f>
        <v>15579.075897201514</v>
      </c>
      <c r="P30" s="63"/>
      <c r="Q30" s="15"/>
      <c r="R30" s="15"/>
    </row>
    <row r="31" spans="1:22" x14ac:dyDescent="0.25">
      <c r="A31" s="17">
        <f t="shared" si="3"/>
        <v>0</v>
      </c>
      <c r="B31" s="43">
        <v>3</v>
      </c>
      <c r="C31" s="40">
        <f>((+$E$3*$E$7/100)+(+$E$4*$K$7/100))*'data sheet'!H26</f>
        <v>11988.594359999999</v>
      </c>
      <c r="D31" s="35">
        <f>((+$E$3*$K$11)/100+(+$E$4*$K$11)/100)*'data sheet'!L26</f>
        <v>9484.56925315228</v>
      </c>
      <c r="E31" s="35">
        <f>((+$E$3*$E$11/100)+(+$E$4*$E$11/100))*'data sheet'!J26</f>
        <v>3757.4733153638808</v>
      </c>
      <c r="F31" s="49">
        <f t="shared" si="0"/>
        <v>5727.0959377883992</v>
      </c>
      <c r="G31" s="38">
        <f t="shared" si="1"/>
        <v>17715.690297788398</v>
      </c>
      <c r="H31" s="57">
        <f t="shared" si="4"/>
        <v>-14386.03550211278</v>
      </c>
      <c r="I31" s="49"/>
      <c r="J31" s="40">
        <f>+G31*'data sheet'!E27</f>
        <v>16212.366215704746</v>
      </c>
      <c r="K31" s="57">
        <f t="shared" si="5"/>
        <v>-17324.198461430366</v>
      </c>
      <c r="L31" s="19">
        <f t="shared" si="2"/>
        <v>0</v>
      </c>
      <c r="M31" s="15">
        <v>3</v>
      </c>
      <c r="N31" s="205">
        <f>+'Finance Costings'!B23</f>
        <v>8659.5991514486559</v>
      </c>
      <c r="O31" s="206">
        <f>+O30+G31-N31</f>
        <v>24635.167043541256</v>
      </c>
      <c r="P31" s="63"/>
      <c r="Q31" s="15"/>
      <c r="R31" s="15"/>
    </row>
    <row r="32" spans="1:22" x14ac:dyDescent="0.25">
      <c r="A32" s="17">
        <f t="shared" si="3"/>
        <v>1</v>
      </c>
      <c r="B32" s="43">
        <v>4</v>
      </c>
      <c r="C32" s="40">
        <f>((+$E$3*$E$7/100)+(+$E$4*$K$7/100))*'data sheet'!H27</f>
        <v>12348.2521908</v>
      </c>
      <c r="D32" s="35">
        <f>((+$E$3*$K$11)/100+(+$E$4*$K$11)/100)*'data sheet'!L27</f>
        <v>10148.489100872939</v>
      </c>
      <c r="E32" s="35">
        <f>((+$E$3*$E$11/100)+(+$E$4*$E$11/100))*'data sheet'!J27</f>
        <v>3870.1975148247975</v>
      </c>
      <c r="F32" s="49">
        <f t="shared" si="0"/>
        <v>6278.2915860481417</v>
      </c>
      <c r="G32" s="38">
        <f t="shared" si="1"/>
        <v>18626.543776848142</v>
      </c>
      <c r="H32" s="57">
        <f t="shared" si="4"/>
        <v>4240.5082747353626</v>
      </c>
      <c r="I32" s="49"/>
      <c r="J32" s="40">
        <f>+G32*'data sheet'!E28</f>
        <v>16549.442893164149</v>
      </c>
      <c r="K32" s="57">
        <f t="shared" si="5"/>
        <v>-774.75556826621687</v>
      </c>
      <c r="L32" s="19">
        <f t="shared" si="2"/>
        <v>1</v>
      </c>
      <c r="M32" s="15">
        <v>4</v>
      </c>
      <c r="N32" s="205">
        <f>+'Finance Costings'!B24</f>
        <v>8659.5991514486559</v>
      </c>
      <c r="O32" s="206">
        <f>+O31+G32-N32</f>
        <v>34602.11166894075</v>
      </c>
      <c r="P32" s="63"/>
      <c r="Q32" s="15"/>
      <c r="R32" s="15"/>
    </row>
    <row r="33" spans="1:18" x14ac:dyDescent="0.25">
      <c r="A33" s="17">
        <f t="shared" si="3"/>
        <v>2</v>
      </c>
      <c r="B33" s="43">
        <v>5</v>
      </c>
      <c r="C33" s="40">
        <f>((+$E$3*$E$7/100)+(+$E$4*$K$7/100))*'data sheet'!H28</f>
        <v>12718.699756524002</v>
      </c>
      <c r="D33" s="35">
        <f>((+$E$3*$K$11)/100+(+$E$4*$K$11)/100)*'data sheet'!L28</f>
        <v>10858.883337934047</v>
      </c>
      <c r="E33" s="35">
        <f>((+$E$3*$E$11/100)+(+$E$4*$E$11/100))*'data sheet'!J28</f>
        <v>3986.3034402695421</v>
      </c>
      <c r="F33" s="49">
        <f t="shared" si="0"/>
        <v>6872.5798976645046</v>
      </c>
      <c r="G33" s="38">
        <f t="shared" si="1"/>
        <v>19591.279654188507</v>
      </c>
      <c r="H33" s="57">
        <f t="shared" si="4"/>
        <v>23831.78792892387</v>
      </c>
      <c r="I33" s="49"/>
      <c r="J33" s="40">
        <f>+G33*'data sheet'!E29</f>
        <v>16899.609927029749</v>
      </c>
      <c r="K33" s="57">
        <f t="shared" si="5"/>
        <v>16124.854358763532</v>
      </c>
      <c r="L33" s="19">
        <f t="shared" si="2"/>
        <v>1</v>
      </c>
      <c r="M33" s="15">
        <v>5</v>
      </c>
      <c r="N33" s="205">
        <f>+'Finance Costings'!B25</f>
        <v>8659.5991514486559</v>
      </c>
      <c r="O33" s="206">
        <f>+O32+G33-N33</f>
        <v>45533.792171680601</v>
      </c>
      <c r="P33" s="63"/>
      <c r="Q33" s="15"/>
      <c r="R33" s="15"/>
    </row>
    <row r="34" spans="1:18" x14ac:dyDescent="0.25">
      <c r="A34" s="17">
        <f t="shared" si="3"/>
        <v>3</v>
      </c>
      <c r="B34" s="43">
        <v>6</v>
      </c>
      <c r="C34" s="40">
        <f>((+$E$3*$E$7/100)+(+$E$4*$K$7/100))*'data sheet'!H29</f>
        <v>13100.26074921972</v>
      </c>
      <c r="D34" s="35">
        <f>((+$E$3*$K$11)/100+(+$E$4*$K$11)/100)*'data sheet'!L29</f>
        <v>11619.00517158943</v>
      </c>
      <c r="E34" s="35">
        <f>((+$E$3*$E$11/100)+(+$E$4*$E$11/100))*'data sheet'!J29</f>
        <v>4105.8925434776284</v>
      </c>
      <c r="F34" s="49">
        <f t="shared" si="0"/>
        <v>7513.1126281118013</v>
      </c>
      <c r="G34" s="38">
        <f t="shared" si="1"/>
        <v>20613.373377331522</v>
      </c>
      <c r="H34" s="57">
        <f t="shared" si="4"/>
        <v>44445.161306255395</v>
      </c>
      <c r="I34" s="49"/>
      <c r="J34" s="40">
        <f>+G34*'data sheet'!E30</f>
        <v>17263.375680657118</v>
      </c>
      <c r="K34" s="57">
        <f t="shared" si="5"/>
        <v>33388.230039420654</v>
      </c>
      <c r="L34" s="19">
        <f t="shared" si="2"/>
        <v>1</v>
      </c>
      <c r="M34" s="15">
        <v>6</v>
      </c>
      <c r="N34" s="205">
        <f>+'Finance Costings'!B26</f>
        <v>8659.5991514486559</v>
      </c>
      <c r="O34" s="206">
        <f t="shared" ref="O34:O48" si="6">+O33+G34-N34</f>
        <v>57487.566397563467</v>
      </c>
      <c r="P34" s="63"/>
      <c r="Q34" s="15"/>
      <c r="R34" s="15"/>
    </row>
    <row r="35" spans="1:18" x14ac:dyDescent="0.25">
      <c r="A35" s="17">
        <f t="shared" si="3"/>
        <v>4</v>
      </c>
      <c r="B35" s="43">
        <v>7</v>
      </c>
      <c r="C35" s="40">
        <f>((+$E$3*$E$7/100)+(+$E$4*$K$7/100))*'data sheet'!H30</f>
        <v>13493.268571696313</v>
      </c>
      <c r="D35" s="35">
        <f>((+$E$3*$K$11)/100+(+$E$4*$K$11)/100)*'data sheet'!L30</f>
        <v>12432.335533600692</v>
      </c>
      <c r="E35" s="35">
        <f>((+$E$3*$E$11/100)+(+$E$4*$E$11/100))*'data sheet'!J30</f>
        <v>4229.0693197819573</v>
      </c>
      <c r="F35" s="49">
        <f t="shared" si="0"/>
        <v>8203.2662138187334</v>
      </c>
      <c r="G35" s="38">
        <f t="shared" si="1"/>
        <v>21696.534785515047</v>
      </c>
      <c r="H35" s="57">
        <f t="shared" si="4"/>
        <v>66141.696091770442</v>
      </c>
      <c r="I35" s="49"/>
      <c r="J35" s="40">
        <f>+G35*'data sheet'!E31</f>
        <v>17641.268259668072</v>
      </c>
      <c r="K35" s="57">
        <f t="shared" si="5"/>
        <v>51029.498299088722</v>
      </c>
      <c r="L35" s="19">
        <f t="shared" si="2"/>
        <v>1</v>
      </c>
      <c r="M35" s="15">
        <v>7</v>
      </c>
      <c r="N35" s="205">
        <f>+'Finance Costings'!B27</f>
        <v>8659.5991514486559</v>
      </c>
      <c r="O35" s="206">
        <f t="shared" si="6"/>
        <v>70524.502031629861</v>
      </c>
      <c r="P35" s="63"/>
      <c r="Q35" s="15"/>
      <c r="R35" s="15"/>
    </row>
    <row r="36" spans="1:18" x14ac:dyDescent="0.25">
      <c r="A36" s="17">
        <f t="shared" si="3"/>
        <v>5</v>
      </c>
      <c r="B36" s="43">
        <v>8</v>
      </c>
      <c r="C36" s="40">
        <f>((+$E$3*$E$7/100)+(+$E$4*$K$7/100))*'data sheet'!H31</f>
        <v>13898.066628847202</v>
      </c>
      <c r="D36" s="35">
        <f>((+$E$3*$K$11)/100+(+$E$4*$K$11)/100)*'data sheet'!L31</f>
        <v>13302.599020952741</v>
      </c>
      <c r="E36" s="35">
        <f>((+$E$3*$E$11/100)+(+$E$4*$E$11/100))*'data sheet'!J31</f>
        <v>4355.941399375416</v>
      </c>
      <c r="F36" s="49">
        <f t="shared" si="0"/>
        <v>8946.6576215773239</v>
      </c>
      <c r="G36" s="38">
        <f t="shared" si="1"/>
        <v>22844.724250424526</v>
      </c>
      <c r="H36" s="57">
        <f t="shared" si="4"/>
        <v>88986.420342194964</v>
      </c>
      <c r="I36" s="49"/>
      <c r="J36" s="40">
        <f>+G36*'data sheet'!E32</f>
        <v>18033.836278640618</v>
      </c>
      <c r="K36" s="57">
        <f t="shared" si="5"/>
        <v>69063.334577729343</v>
      </c>
      <c r="L36" s="19">
        <f t="shared" si="2"/>
        <v>1</v>
      </c>
      <c r="M36" s="15">
        <v>8</v>
      </c>
      <c r="N36" s="205">
        <f>+'Finance Costings'!B28</f>
        <v>8659.5991514486559</v>
      </c>
      <c r="O36" s="206">
        <f t="shared" si="6"/>
        <v>84709.627130605732</v>
      </c>
      <c r="P36" s="63"/>
      <c r="Q36" s="15"/>
      <c r="R36" s="15"/>
    </row>
    <row r="37" spans="1:18" x14ac:dyDescent="0.25">
      <c r="A37" s="17">
        <f t="shared" si="3"/>
        <v>6</v>
      </c>
      <c r="B37" s="43">
        <v>9</v>
      </c>
      <c r="C37" s="40">
        <f>((+$E$3*$E$7/100)+(+$E$4*$K$7/100))*'data sheet'!H32</f>
        <v>14315.008627712619</v>
      </c>
      <c r="D37" s="35">
        <f>((+$E$3*$K$11)/100+(+$E$4*$K$11)/100)*'data sheet'!L32</f>
        <v>14233.780952419433</v>
      </c>
      <c r="E37" s="35">
        <f>((+$E$3*$E$11/100)+(+$E$4*$E$11/100))*'data sheet'!J32</f>
        <v>4486.6196413566786</v>
      </c>
      <c r="F37" s="49">
        <f t="shared" si="0"/>
        <v>9747.161311062755</v>
      </c>
      <c r="G37" s="38">
        <f t="shared" si="1"/>
        <v>24062.169938775376</v>
      </c>
      <c r="H37" s="57">
        <f t="shared" si="4"/>
        <v>113048.59028097034</v>
      </c>
      <c r="I37" s="49"/>
      <c r="J37" s="40">
        <f>+G37*'data sheet'!E33</f>
        <v>18441.649657573267</v>
      </c>
      <c r="K37" s="57">
        <f t="shared" si="5"/>
        <v>87504.984235302603</v>
      </c>
      <c r="L37" s="19">
        <f t="shared" si="2"/>
        <v>1</v>
      </c>
      <c r="M37" s="15">
        <v>9</v>
      </c>
      <c r="N37" s="205">
        <f>+'Finance Costings'!B29</f>
        <v>8659.5991514486559</v>
      </c>
      <c r="O37" s="206">
        <f t="shared" si="6"/>
        <v>100112.19791793246</v>
      </c>
      <c r="P37" s="63"/>
      <c r="Q37" s="15"/>
      <c r="R37" s="15"/>
    </row>
    <row r="38" spans="1:18" x14ac:dyDescent="0.25">
      <c r="A38" s="17">
        <f t="shared" si="3"/>
        <v>7</v>
      </c>
      <c r="B38" s="43">
        <v>10</v>
      </c>
      <c r="C38" s="40">
        <f>((+$E$3*$E$7/100)+(+$E$4*$K$7/100))*'data sheet'!H33</f>
        <v>14744.458886543998</v>
      </c>
      <c r="D38" s="35">
        <f>((+$E$3*$K$11)/100+(+$E$4*$K$11)/100)*'data sheet'!L33</f>
        <v>15230.145619088795</v>
      </c>
      <c r="E38" s="35">
        <f>((+$E$3*$E$11/100)+(+$E$4*$E$11/100))*'data sheet'!J33</f>
        <v>4621.2182305973793</v>
      </c>
      <c r="F38" s="49">
        <f t="shared" si="0"/>
        <v>10608.927388491415</v>
      </c>
      <c r="G38" s="38">
        <f t="shared" si="1"/>
        <v>25353.386275035413</v>
      </c>
      <c r="H38" s="57">
        <f t="shared" si="4"/>
        <v>138401.97655600574</v>
      </c>
      <c r="I38" s="49"/>
      <c r="J38" s="40">
        <f>+G38*'data sheet'!E34</f>
        <v>18865.300449279996</v>
      </c>
      <c r="K38" s="57">
        <f t="shared" si="5"/>
        <v>106370.2846845826</v>
      </c>
      <c r="L38" s="19">
        <f t="shared" si="2"/>
        <v>1</v>
      </c>
      <c r="M38" s="15">
        <v>10</v>
      </c>
      <c r="N38" s="205">
        <f>+'Finance Costings'!B30</f>
        <v>8659.5991514486559</v>
      </c>
      <c r="O38" s="206">
        <f t="shared" si="6"/>
        <v>116805.98504151922</v>
      </c>
      <c r="P38" s="63"/>
      <c r="Q38" s="15"/>
      <c r="R38" s="15"/>
    </row>
    <row r="39" spans="1:18" x14ac:dyDescent="0.25">
      <c r="A39" s="17">
        <f t="shared" si="3"/>
        <v>8</v>
      </c>
      <c r="B39" s="43">
        <v>11</v>
      </c>
      <c r="C39" s="40">
        <f>((+$E$3*$E$7/100)+(+$E$4*$K$7/100))*'data sheet'!H34</f>
        <v>15186.792653140319</v>
      </c>
      <c r="D39" s="35">
        <f>((+$E$3*$K$11)/100+(+$E$4*$K$11)/100)*'data sheet'!L34</f>
        <v>16296.255812425012</v>
      </c>
      <c r="E39" s="35">
        <f>((+$E$3*$E$11/100)+(+$E$4*$E$11/100))*'data sheet'!J34</f>
        <v>4759.8547775153002</v>
      </c>
      <c r="F39" s="49">
        <f t="shared" si="0"/>
        <v>11536.401034909712</v>
      </c>
      <c r="G39" s="38">
        <f t="shared" si="1"/>
        <v>26723.193688050029</v>
      </c>
      <c r="H39" s="57">
        <f t="shared" si="4"/>
        <v>165125.17024405577</v>
      </c>
      <c r="I39" s="49"/>
      <c r="J39" s="40">
        <f>+G39*'data sheet'!E35</f>
        <v>19305.403698917082</v>
      </c>
      <c r="K39" s="57">
        <f t="shared" si="5"/>
        <v>125675.68838349968</v>
      </c>
      <c r="L39" s="19">
        <f t="shared" si="2"/>
        <v>1</v>
      </c>
      <c r="M39" s="15"/>
      <c r="N39" s="205"/>
      <c r="O39" s="206">
        <f t="shared" si="6"/>
        <v>143529.17872956925</v>
      </c>
      <c r="P39" s="63"/>
      <c r="Q39" s="15"/>
      <c r="R39" s="15"/>
    </row>
    <row r="40" spans="1:18" x14ac:dyDescent="0.25">
      <c r="A40" s="17">
        <f t="shared" si="3"/>
        <v>9</v>
      </c>
      <c r="B40" s="43">
        <v>12</v>
      </c>
      <c r="C40" s="40">
        <f>((+$E$3*$E$7/100)+(+$E$4*$K$7/100))*'data sheet'!H35</f>
        <v>15642.396432734527</v>
      </c>
      <c r="D40" s="35">
        <f>((+$E$3*$K$11)/100+(+$E$4*$K$11)/100)*'data sheet'!L35</f>
        <v>17436.993719294765</v>
      </c>
      <c r="E40" s="35">
        <f>((+$E$3*$E$11/100)+(+$E$4*$E$11/100))*'data sheet'!J35</f>
        <v>4902.6504208407596</v>
      </c>
      <c r="F40" s="49">
        <f t="shared" si="0"/>
        <v>12534.343298454005</v>
      </c>
      <c r="G40" s="38">
        <f t="shared" si="1"/>
        <v>28176.739731188532</v>
      </c>
      <c r="H40" s="57">
        <f t="shared" si="4"/>
        <v>193301.90997524431</v>
      </c>
      <c r="I40" s="49"/>
      <c r="J40" s="40">
        <f>+G40*'data sheet'!E36</f>
        <v>19762.598336889594</v>
      </c>
      <c r="K40" s="57">
        <f t="shared" si="5"/>
        <v>145438.28672038927</v>
      </c>
      <c r="L40" s="19">
        <f t="shared" si="2"/>
        <v>1</v>
      </c>
      <c r="M40" s="15"/>
      <c r="N40" s="205"/>
      <c r="O40" s="206">
        <f t="shared" si="6"/>
        <v>171705.91846075779</v>
      </c>
      <c r="P40" s="63"/>
      <c r="Q40" s="15"/>
      <c r="R40" s="15"/>
    </row>
    <row r="41" spans="1:18" x14ac:dyDescent="0.25">
      <c r="A41" s="17">
        <f t="shared" si="3"/>
        <v>10</v>
      </c>
      <c r="B41" s="43">
        <v>13</v>
      </c>
      <c r="C41" s="40">
        <f>((+$E$3*$E$7/100)+(+$E$4*$K$7/100))*'data sheet'!H36</f>
        <v>16111.668325716564</v>
      </c>
      <c r="D41" s="35">
        <f>((+$E$3*$K$11)/100+(+$E$4*$K$11)/100)*'data sheet'!L36</f>
        <v>18657.583279645398</v>
      </c>
      <c r="E41" s="35">
        <f>((+$E$3*$E$11/100)+(+$E$4*$E$11/100))*'data sheet'!J36</f>
        <v>5049.7299334659829</v>
      </c>
      <c r="F41" s="49">
        <f t="shared" si="0"/>
        <v>13607.853346179414</v>
      </c>
      <c r="G41" s="38">
        <f t="shared" si="1"/>
        <v>29719.521671895978</v>
      </c>
      <c r="H41" s="57">
        <f t="shared" si="4"/>
        <v>223021.4316471403</v>
      </c>
      <c r="I41" s="49"/>
      <c r="J41" s="40">
        <f>+G41*'data sheet'!E37</f>
        <v>20237.548106433846</v>
      </c>
      <c r="K41" s="57">
        <f t="shared" si="5"/>
        <v>165675.83482682312</v>
      </c>
      <c r="L41" s="19">
        <f t="shared" si="2"/>
        <v>1</v>
      </c>
      <c r="M41" s="15"/>
      <c r="N41" s="205"/>
      <c r="O41" s="206">
        <f t="shared" si="6"/>
        <v>201425.44013265378</v>
      </c>
      <c r="P41" s="63"/>
      <c r="Q41" s="15"/>
      <c r="R41" s="15"/>
    </row>
    <row r="42" spans="1:18" x14ac:dyDescent="0.25">
      <c r="A42" s="17">
        <f t="shared" si="3"/>
        <v>11</v>
      </c>
      <c r="B42" s="43">
        <v>14</v>
      </c>
      <c r="C42" s="40">
        <f>((+$E$3*$E$7/100)+(+$E$4*$K$7/100))*'data sheet'!H37</f>
        <v>16595.018375488064</v>
      </c>
      <c r="D42" s="35">
        <f>((+$E$3*$K$11)/100+(+$E$4*$K$11)/100)*'data sheet'!L37</f>
        <v>19963.614109220576</v>
      </c>
      <c r="E42" s="35">
        <f>((+$E$3*$E$11/100)+(+$E$4*$E$11/100))*'data sheet'!J37</f>
        <v>5201.2218314699621</v>
      </c>
      <c r="F42" s="49">
        <f t="shared" ref="F42:F48" si="7">+D42-E42</f>
        <v>14762.392277750614</v>
      </c>
      <c r="G42" s="38">
        <f t="shared" ref="G42:G48" si="8">+F42+C42</f>
        <v>31357.41065323868</v>
      </c>
      <c r="H42" s="57">
        <f t="shared" ref="H42:H48" si="9">+H41+G42</f>
        <v>254378.84230037898</v>
      </c>
      <c r="I42" s="49"/>
      <c r="J42" s="40">
        <f>+G42*'data sheet'!E38</f>
        <v>20730.942527222542</v>
      </c>
      <c r="K42" s="57">
        <f t="shared" si="5"/>
        <v>186406.77735404565</v>
      </c>
      <c r="L42" s="19">
        <f t="shared" si="2"/>
        <v>1</v>
      </c>
      <c r="M42" s="15"/>
      <c r="N42" s="205"/>
      <c r="O42" s="206">
        <f t="shared" si="6"/>
        <v>232782.85078589246</v>
      </c>
      <c r="P42" s="63"/>
      <c r="Q42" s="15"/>
      <c r="R42" s="15"/>
    </row>
    <row r="43" spans="1:18" x14ac:dyDescent="0.25">
      <c r="A43" s="17">
        <f t="shared" ref="A43:A48" si="10">+A42+L43</f>
        <v>12</v>
      </c>
      <c r="B43" s="43">
        <v>15</v>
      </c>
      <c r="C43" s="40">
        <f>((+$E$3*$E$7/100)+(+$E$4*$K$7/100))*'data sheet'!H38</f>
        <v>17092.868926752704</v>
      </c>
      <c r="D43" s="35">
        <f>((+$E$3*$K$11)/100+(+$E$4*$K$11)/100)*'data sheet'!L38</f>
        <v>21361.067096866016</v>
      </c>
      <c r="E43" s="35">
        <f>((+$E$3*$E$11/100)+(+$E$4*$E$11/100))*'data sheet'!J38</f>
        <v>5357.2584864140617</v>
      </c>
      <c r="F43" s="49">
        <f t="shared" si="7"/>
        <v>16003.808610451953</v>
      </c>
      <c r="G43" s="38">
        <f t="shared" si="8"/>
        <v>33096.677537204654</v>
      </c>
      <c r="H43" s="57">
        <f t="shared" si="9"/>
        <v>287475.51983758365</v>
      </c>
      <c r="I43" s="49"/>
      <c r="J43" s="40">
        <f>+G43*'data sheet'!E39</f>
        <v>21243.497896391371</v>
      </c>
      <c r="K43" s="57">
        <f t="shared" ref="K43:K48" si="11">+K42+J43</f>
        <v>207650.27525043703</v>
      </c>
      <c r="L43" s="19">
        <f t="shared" ref="L43:L49" si="12">IF(H43&gt;0,1,0)</f>
        <v>1</v>
      </c>
      <c r="M43" s="15"/>
      <c r="N43" s="205"/>
      <c r="O43" s="206">
        <f t="shared" si="6"/>
        <v>265879.5283230971</v>
      </c>
      <c r="P43" s="63"/>
      <c r="Q43" s="15"/>
      <c r="R43" s="15"/>
    </row>
    <row r="44" spans="1:18" x14ac:dyDescent="0.25">
      <c r="A44" s="17">
        <f t="shared" si="10"/>
        <v>13</v>
      </c>
      <c r="B44" s="43">
        <v>16</v>
      </c>
      <c r="C44" s="40">
        <f>((+$E$3*$E$7/100)+(+$E$4*$K$7/100))*'data sheet'!H39</f>
        <v>17605.654994555287</v>
      </c>
      <c r="D44" s="35">
        <f>((+$E$3*$K$11)/100+(+$E$4*$K$11)/100)*'data sheet'!L39</f>
        <v>22856.341793646639</v>
      </c>
      <c r="E44" s="35">
        <f>((+$E$3*$E$11/100)+(+$E$4*$E$11/100))*'data sheet'!J39</f>
        <v>5517.9762410064841</v>
      </c>
      <c r="F44" s="49">
        <f t="shared" si="7"/>
        <v>17338.365552640156</v>
      </c>
      <c r="G44" s="38">
        <f t="shared" si="8"/>
        <v>34944.02054719544</v>
      </c>
      <c r="H44" s="57">
        <f t="shared" si="9"/>
        <v>322419.5403847791</v>
      </c>
      <c r="I44" s="49"/>
      <c r="J44" s="40">
        <f>+G44*'data sheet'!E40</f>
        <v>21775.958328440553</v>
      </c>
      <c r="K44" s="57">
        <f t="shared" si="11"/>
        <v>229426.23357887758</v>
      </c>
      <c r="L44" s="19">
        <f t="shared" si="12"/>
        <v>1</v>
      </c>
      <c r="M44" s="15"/>
      <c r="N44" s="205"/>
      <c r="O44" s="206">
        <f t="shared" si="6"/>
        <v>300823.54887029255</v>
      </c>
      <c r="P44" s="63"/>
      <c r="Q44" s="15"/>
      <c r="R44" s="15"/>
    </row>
    <row r="45" spans="1:18" x14ac:dyDescent="0.25">
      <c r="A45" s="17">
        <f t="shared" si="10"/>
        <v>14</v>
      </c>
      <c r="B45" s="43">
        <v>17</v>
      </c>
      <c r="C45" s="40">
        <f>((+$E$3*$E$7/100)+(+$E$4*$K$7/100))*'data sheet'!H40</f>
        <v>18133.824644391949</v>
      </c>
      <c r="D45" s="35">
        <f>((+$E$3*$K$11)/100+(+$E$4*$K$11)/100)*'data sheet'!L40</f>
        <v>24456.285719201907</v>
      </c>
      <c r="E45" s="35">
        <f>((+$E$3*$E$11/100)+(+$E$4*$E$11/100))*'data sheet'!J40</f>
        <v>5683.5155282366786</v>
      </c>
      <c r="F45" s="49">
        <f t="shared" si="7"/>
        <v>18772.770190965228</v>
      </c>
      <c r="G45" s="38">
        <f t="shared" si="8"/>
        <v>36906.594835357173</v>
      </c>
      <c r="H45" s="57">
        <f t="shared" si="9"/>
        <v>359326.13522013626</v>
      </c>
      <c r="I45" s="49"/>
      <c r="J45" s="40">
        <f>+G45*'data sheet'!E41</f>
        <v>22329.09683552077</v>
      </c>
      <c r="K45" s="57">
        <f t="shared" si="11"/>
        <v>251755.33041439834</v>
      </c>
      <c r="L45" s="19">
        <f t="shared" si="12"/>
        <v>1</v>
      </c>
      <c r="M45" s="15"/>
      <c r="N45" s="205"/>
      <c r="O45" s="206">
        <f t="shared" si="6"/>
        <v>337730.14370564971</v>
      </c>
      <c r="P45" s="63"/>
      <c r="Q45" s="15"/>
      <c r="R45" s="15"/>
    </row>
    <row r="46" spans="1:18" x14ac:dyDescent="0.25">
      <c r="A46" s="17">
        <f t="shared" si="10"/>
        <v>15</v>
      </c>
      <c r="B46" s="43">
        <v>18</v>
      </c>
      <c r="C46" s="40">
        <f>((+$E$3*$E$7/100)+(+$E$4*$K$7/100))*'data sheet'!H41</f>
        <v>18677.839383723705</v>
      </c>
      <c r="D46" s="35">
        <f>((+$E$3*$K$11)/100+(+$E$4*$K$11)/100)*'data sheet'!L41</f>
        <v>26168.225719546044</v>
      </c>
      <c r="E46" s="35">
        <f>((+$E$3*$E$11/100)+(+$E$4*$E$11/100))*'data sheet'!J41</f>
        <v>5854.0209940837794</v>
      </c>
      <c r="F46" s="49">
        <f t="shared" si="7"/>
        <v>20314.204725462267</v>
      </c>
      <c r="G46" s="38">
        <f t="shared" si="8"/>
        <v>38992.044109185968</v>
      </c>
      <c r="H46" s="57">
        <f t="shared" si="9"/>
        <v>398318.17932932224</v>
      </c>
      <c r="I46" s="49"/>
      <c r="J46" s="40">
        <f>+G46*'data sheet'!E42</f>
        <v>22903.716449672062</v>
      </c>
      <c r="K46" s="57">
        <f t="shared" si="11"/>
        <v>274659.04686407041</v>
      </c>
      <c r="L46" s="19">
        <f t="shared" si="12"/>
        <v>1</v>
      </c>
      <c r="M46" s="15"/>
      <c r="N46" s="205"/>
      <c r="O46" s="206">
        <f t="shared" si="6"/>
        <v>376722.18781483569</v>
      </c>
      <c r="P46" s="63"/>
      <c r="Q46" s="15"/>
      <c r="R46" s="15"/>
    </row>
    <row r="47" spans="1:18" x14ac:dyDescent="0.25">
      <c r="A47" s="17">
        <f t="shared" si="10"/>
        <v>16</v>
      </c>
      <c r="B47" s="43">
        <v>19</v>
      </c>
      <c r="C47" s="40">
        <f>((+$E$3*$E$7/100)+(+$E$4*$K$7/100))*'data sheet'!H42</f>
        <v>19238.174565235418</v>
      </c>
      <c r="D47" s="35">
        <f>((+$E$3*$K$11)/100+(+$E$4*$K$11)/100)*'data sheet'!L42</f>
        <v>28000.001519914269</v>
      </c>
      <c r="E47" s="35">
        <f>((+$E$3*$E$11/100)+(+$E$4*$E$11/100))*'data sheet'!J42</f>
        <v>6029.6416239062928</v>
      </c>
      <c r="F47" s="49">
        <f t="shared" si="7"/>
        <v>21970.359896007976</v>
      </c>
      <c r="G47" s="38">
        <f t="shared" si="8"/>
        <v>41208.534461243398</v>
      </c>
      <c r="H47" s="57">
        <f t="shared" si="9"/>
        <v>439526.71379056561</v>
      </c>
      <c r="I47" s="49"/>
      <c r="J47" s="40">
        <f>+G47*'data sheet'!E43</f>
        <v>23500.651388644768</v>
      </c>
      <c r="K47" s="57">
        <f t="shared" si="11"/>
        <v>298159.69825271517</v>
      </c>
      <c r="L47" s="19">
        <f t="shared" si="12"/>
        <v>1</v>
      </c>
      <c r="M47" s="15"/>
      <c r="N47" s="205"/>
      <c r="O47" s="206">
        <f t="shared" si="6"/>
        <v>417930.72227607912</v>
      </c>
      <c r="P47" s="63"/>
      <c r="Q47" s="15"/>
      <c r="R47" s="15"/>
    </row>
    <row r="48" spans="1:18" x14ac:dyDescent="0.25">
      <c r="A48" s="17">
        <f t="shared" si="10"/>
        <v>17</v>
      </c>
      <c r="B48" s="43">
        <v>20</v>
      </c>
      <c r="C48" s="40">
        <f>((+$E$3*$E$7/100)+(+$E$4*$K$7/100))*'data sheet'!H43</f>
        <v>19815.31980219248</v>
      </c>
      <c r="D48" s="35">
        <f>((+$E$3*$K$11)/100+(+$E$4*$K$11)/100)*'data sheet'!L43</f>
        <v>29960.001626308273</v>
      </c>
      <c r="E48" s="35">
        <f>((+$E$3*$E$11/100)+(+$E$4*$E$11/100))*'data sheet'!J43</f>
        <v>6210.5308726234816</v>
      </c>
      <c r="F48" s="49">
        <f t="shared" si="7"/>
        <v>23749.470753684793</v>
      </c>
      <c r="G48" s="38">
        <f t="shared" si="8"/>
        <v>43564.790555877276</v>
      </c>
      <c r="H48" s="57">
        <f t="shared" si="9"/>
        <v>483091.50434644287</v>
      </c>
      <c r="I48" s="49"/>
      <c r="J48" s="40">
        <f>+G48*'data sheet'!E44</f>
        <v>24120.768266995048</v>
      </c>
      <c r="K48" s="57">
        <f t="shared" si="11"/>
        <v>322280.4665197102</v>
      </c>
      <c r="L48" s="19">
        <f t="shared" si="12"/>
        <v>1</v>
      </c>
      <c r="M48" s="15"/>
      <c r="N48" s="205"/>
      <c r="O48" s="206">
        <f t="shared" si="6"/>
        <v>461495.51283195638</v>
      </c>
      <c r="P48" s="63"/>
      <c r="Q48" s="15"/>
      <c r="R48" s="15"/>
    </row>
    <row r="49" spans="1:18" ht="15.75" thickBot="1" x14ac:dyDescent="0.3">
      <c r="A49" s="17"/>
      <c r="B49" s="26" t="s">
        <v>12</v>
      </c>
      <c r="C49" s="39">
        <f>SUM(C28:C48)</f>
        <v>303645.97987527493</v>
      </c>
      <c r="D49" s="36">
        <f>SUM(D28:D48)</f>
        <v>339614.45190653269</v>
      </c>
      <c r="E49" s="36">
        <f>SUM(E28:E48)</f>
        <v>95168.927435364778</v>
      </c>
      <c r="F49" s="33">
        <f>SUM(F28:F48)</f>
        <v>244445.52447116803</v>
      </c>
      <c r="G49" s="39">
        <f>SUM(G28:G48)</f>
        <v>548091.50434644287</v>
      </c>
      <c r="H49" s="64"/>
      <c r="I49" s="18"/>
      <c r="J49" s="18"/>
      <c r="K49" s="18"/>
      <c r="L49" s="19">
        <f t="shared" si="12"/>
        <v>0</v>
      </c>
      <c r="M49" s="15"/>
      <c r="N49" s="207">
        <f>SUM(N29:N48)</f>
        <v>86595.991514486537</v>
      </c>
      <c r="O49" s="208">
        <f>+G49-N49</f>
        <v>461495.51283195632</v>
      </c>
      <c r="P49" s="63"/>
      <c r="Q49" s="15"/>
      <c r="R49" s="15"/>
    </row>
    <row r="50" spans="1:18" ht="15.75" thickBot="1" x14ac:dyDescent="0.3">
      <c r="A50" s="2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9"/>
      <c r="M50" s="15"/>
      <c r="N50" s="15"/>
      <c r="O50" s="63"/>
      <c r="P50" s="63"/>
      <c r="Q50" s="15"/>
      <c r="R50" s="15"/>
    </row>
    <row r="51" spans="1:18" ht="18.75" x14ac:dyDescent="0.3">
      <c r="A51" s="162" t="s">
        <v>259</v>
      </c>
      <c r="B51" s="139"/>
      <c r="M51" s="15"/>
      <c r="N51" s="15"/>
      <c r="O51" s="63"/>
      <c r="P51" s="63"/>
      <c r="Q51" s="15"/>
      <c r="R51" s="15"/>
    </row>
    <row r="52" spans="1:18" ht="18.75" x14ac:dyDescent="0.3">
      <c r="A52" s="162" t="s">
        <v>256</v>
      </c>
      <c r="B52" s="139"/>
    </row>
    <row r="53" spans="1:18" ht="18.75" x14ac:dyDescent="0.3">
      <c r="A53" s="162" t="s">
        <v>257</v>
      </c>
    </row>
    <row r="54" spans="1:18" ht="18.75" x14ac:dyDescent="0.3">
      <c r="A54" s="227" t="s">
        <v>258</v>
      </c>
    </row>
  </sheetData>
  <protectedRanges>
    <protectedRange sqref="K3 D11 E14 K14 K17 D17 J11 E2:E5" name="input range _green cells"/>
    <protectedRange sqref="T13:T15" name="input range _green cells_1"/>
    <protectedRange sqref="E7" name="input range _green cells_2_1"/>
    <protectedRange sqref="K7" name="input range _green cells_2_2"/>
  </protectedRanges>
  <dataConsolidate/>
  <mergeCells count="3">
    <mergeCell ref="L10:N10"/>
    <mergeCell ref="L11:N11"/>
    <mergeCell ref="N20:O20"/>
  </mergeCells>
  <conditionalFormatting sqref="H28:I49 K28:K48 O29:O48">
    <cfRule type="cellIs" dxfId="5" priority="9" stopIfTrue="1" operator="lessThan">
      <formula>0</formula>
    </cfRule>
    <cfRule type="cellIs" dxfId="4" priority="10" stopIfTrue="1" operator="greaterThan">
      <formula>0</formula>
    </cfRule>
  </conditionalFormatting>
  <conditionalFormatting sqref="O28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O20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dataValidations count="9">
    <dataValidation type="list" allowBlank="1" showInputMessage="1" showErrorMessage="1" sqref="J11">
      <formula1>$U$10:$U$13</formula1>
    </dataValidation>
    <dataValidation type="list" allowBlank="1" showInputMessage="1" showErrorMessage="1" sqref="D14">
      <formula1>$T$10:$T$12</formula1>
    </dataValidation>
    <dataValidation type="list" allowBlank="1" showInputMessage="1" showErrorMessage="1" sqref="D17">
      <formula1>$V$7:$V$26</formula1>
    </dataValidation>
    <dataValidation type="list" allowBlank="1" showInputMessage="1" showErrorMessage="1" sqref="E14 K17 K14">
      <formula1>$V$7:$V$20</formula1>
    </dataValidation>
    <dataValidation type="list" allowBlank="1" showInputMessage="1" showErrorMessage="1" sqref="T13:T15">
      <formula1>$T$9:$T$14</formula1>
    </dataValidation>
    <dataValidation type="list" allowBlank="1" showInputMessage="1" showErrorMessage="1" sqref="D11">
      <formula1>$T$10:$T$15</formula1>
    </dataValidation>
    <dataValidation type="list" allowBlank="1" showInputMessage="1" showErrorMessage="1" promptTitle="Number of Year Financed" prompt="Please select number of years the project will be financed over." sqref="O21">
      <formula1>$M$29:$M$38</formula1>
    </dataValidation>
    <dataValidation type="list" allowBlank="1" showInputMessage="1" showErrorMessage="1" promptTitle="Monthly Int Rate payable " prompt="please select Annual flat interest rate fromdrop down box.    (APR is shown in yellow below)" sqref="O22">
      <formula1>$V$7:$V$26</formula1>
    </dataValidation>
    <dataValidation allowBlank="1" showInputMessage="1" showErrorMessage="1" promptTitle="Additional Hours Usage" prompt="Please enter in the additional hours usage over and above the standard (boiler size x 1314)   " sqref="E4"/>
  </dataValidations>
  <pageMargins left="0.70866141732283472" right="0.70866141732283472" top="0.74803149606299213" bottom="0.74803149606299213" header="0.31496062992125984" footer="0.31496062992125984"/>
  <pageSetup paperSize="8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</sheetPr>
  <dimension ref="A2:E77"/>
  <sheetViews>
    <sheetView workbookViewId="0"/>
  </sheetViews>
  <sheetFormatPr defaultRowHeight="15" x14ac:dyDescent="0.25"/>
  <cols>
    <col min="4" max="4" width="11.85546875" customWidth="1"/>
  </cols>
  <sheetData>
    <row r="2" spans="1:2" ht="21" x14ac:dyDescent="0.35">
      <c r="A2" s="226" t="s">
        <v>260</v>
      </c>
    </row>
    <row r="4" spans="1:2" x14ac:dyDescent="0.25">
      <c r="A4" t="s">
        <v>181</v>
      </c>
    </row>
    <row r="5" spans="1:2" x14ac:dyDescent="0.25">
      <c r="A5" t="s">
        <v>243</v>
      </c>
    </row>
    <row r="7" spans="1:2" x14ac:dyDescent="0.25">
      <c r="B7" t="s">
        <v>252</v>
      </c>
    </row>
    <row r="8" spans="1:2" x14ac:dyDescent="0.25">
      <c r="A8" s="73"/>
    </row>
    <row r="9" spans="1:2" x14ac:dyDescent="0.25">
      <c r="A9" s="73">
        <v>1</v>
      </c>
      <c r="B9" t="s">
        <v>178</v>
      </c>
    </row>
    <row r="10" spans="1:2" x14ac:dyDescent="0.25">
      <c r="A10" s="73"/>
      <c r="B10" t="s">
        <v>182</v>
      </c>
    </row>
    <row r="11" spans="1:2" x14ac:dyDescent="0.25">
      <c r="A11" s="73"/>
    </row>
    <row r="12" spans="1:2" x14ac:dyDescent="0.25">
      <c r="A12" s="73">
        <v>2</v>
      </c>
      <c r="B12" s="73" t="s">
        <v>185</v>
      </c>
    </row>
    <row r="13" spans="1:2" x14ac:dyDescent="0.25">
      <c r="A13" s="73"/>
      <c r="B13" t="s">
        <v>180</v>
      </c>
    </row>
    <row r="14" spans="1:2" x14ac:dyDescent="0.25">
      <c r="A14" s="73"/>
      <c r="B14" t="s">
        <v>179</v>
      </c>
    </row>
    <row r="15" spans="1:2" x14ac:dyDescent="0.25">
      <c r="A15" s="73"/>
      <c r="B15" t="s">
        <v>183</v>
      </c>
    </row>
    <row r="16" spans="1:2" x14ac:dyDescent="0.25">
      <c r="A16" s="73"/>
      <c r="B16" t="s">
        <v>186</v>
      </c>
    </row>
    <row r="17" spans="1:2" x14ac:dyDescent="0.25">
      <c r="A17" s="73"/>
    </row>
    <row r="18" spans="1:2" x14ac:dyDescent="0.25">
      <c r="A18" s="73">
        <v>3</v>
      </c>
      <c r="B18" s="73" t="s">
        <v>206</v>
      </c>
    </row>
    <row r="19" spans="1:2" x14ac:dyDescent="0.25">
      <c r="A19" s="73"/>
      <c r="B19" t="s">
        <v>191</v>
      </c>
    </row>
    <row r="20" spans="1:2" x14ac:dyDescent="0.25">
      <c r="A20" s="73"/>
      <c r="B20" t="s">
        <v>192</v>
      </c>
    </row>
    <row r="21" spans="1:2" x14ac:dyDescent="0.25">
      <c r="B21" t="s">
        <v>184</v>
      </c>
    </row>
    <row r="22" spans="1:2" x14ac:dyDescent="0.25">
      <c r="B22" t="s">
        <v>244</v>
      </c>
    </row>
    <row r="24" spans="1:2" x14ac:dyDescent="0.25">
      <c r="A24">
        <v>4</v>
      </c>
      <c r="B24" s="73" t="s">
        <v>205</v>
      </c>
    </row>
    <row r="25" spans="1:2" x14ac:dyDescent="0.25">
      <c r="B25" t="s">
        <v>246</v>
      </c>
    </row>
    <row r="26" spans="1:2" x14ac:dyDescent="0.25">
      <c r="B26" t="s">
        <v>187</v>
      </c>
    </row>
    <row r="27" spans="1:2" x14ac:dyDescent="0.25">
      <c r="B27" t="s">
        <v>245</v>
      </c>
    </row>
    <row r="29" spans="1:2" x14ac:dyDescent="0.25">
      <c r="A29">
        <v>5</v>
      </c>
      <c r="B29" s="73" t="s">
        <v>204</v>
      </c>
    </row>
    <row r="30" spans="1:2" x14ac:dyDescent="0.25">
      <c r="B30" t="s">
        <v>189</v>
      </c>
    </row>
    <row r="31" spans="1:2" x14ac:dyDescent="0.25">
      <c r="B31" t="s">
        <v>247</v>
      </c>
    </row>
    <row r="32" spans="1:2" x14ac:dyDescent="0.25">
      <c r="B32" t="s">
        <v>248</v>
      </c>
    </row>
    <row r="34" spans="1:2" x14ac:dyDescent="0.25">
      <c r="A34">
        <v>6</v>
      </c>
      <c r="B34" s="73" t="s">
        <v>190</v>
      </c>
    </row>
    <row r="35" spans="1:2" x14ac:dyDescent="0.25">
      <c r="B35" t="s">
        <v>249</v>
      </c>
    </row>
    <row r="36" spans="1:2" x14ac:dyDescent="0.25">
      <c r="B36" t="s">
        <v>247</v>
      </c>
    </row>
    <row r="37" spans="1:2" x14ac:dyDescent="0.25">
      <c r="B37" t="s">
        <v>193</v>
      </c>
    </row>
    <row r="38" spans="1:2" x14ac:dyDescent="0.25">
      <c r="B38" t="s">
        <v>201</v>
      </c>
    </row>
    <row r="39" spans="1:2" x14ac:dyDescent="0.25">
      <c r="A39" s="73"/>
    </row>
    <row r="40" spans="1:2" x14ac:dyDescent="0.25">
      <c r="A40" s="73">
        <v>7</v>
      </c>
      <c r="B40" s="73" t="s">
        <v>208</v>
      </c>
    </row>
    <row r="41" spans="1:2" x14ac:dyDescent="0.25">
      <c r="B41" t="s">
        <v>209</v>
      </c>
    </row>
    <row r="42" spans="1:2" x14ac:dyDescent="0.25">
      <c r="B42" t="s">
        <v>210</v>
      </c>
    </row>
    <row r="44" spans="1:2" x14ac:dyDescent="0.25">
      <c r="A44" s="73">
        <v>8</v>
      </c>
      <c r="B44" s="73" t="s">
        <v>251</v>
      </c>
    </row>
    <row r="45" spans="1:2" x14ac:dyDescent="0.25">
      <c r="B45" t="s">
        <v>235</v>
      </c>
    </row>
    <row r="46" spans="1:2" x14ac:dyDescent="0.25">
      <c r="B46" t="s">
        <v>211</v>
      </c>
    </row>
    <row r="47" spans="1:2" x14ac:dyDescent="0.25">
      <c r="B47" t="s">
        <v>250</v>
      </c>
    </row>
    <row r="49" spans="1:5" x14ac:dyDescent="0.25">
      <c r="A49" s="73">
        <v>9</v>
      </c>
      <c r="B49" s="73" t="s">
        <v>212</v>
      </c>
    </row>
    <row r="50" spans="1:5" x14ac:dyDescent="0.25">
      <c r="B50" t="s">
        <v>213</v>
      </c>
    </row>
    <row r="51" spans="1:5" x14ac:dyDescent="0.25">
      <c r="B51" t="s">
        <v>214</v>
      </c>
    </row>
    <row r="54" spans="1:5" x14ac:dyDescent="0.25">
      <c r="A54" s="73">
        <v>10</v>
      </c>
      <c r="B54" s="73" t="s">
        <v>215</v>
      </c>
    </row>
    <row r="55" spans="1:5" x14ac:dyDescent="0.25">
      <c r="B55" t="s">
        <v>226</v>
      </c>
      <c r="C55" t="s">
        <v>216</v>
      </c>
      <c r="E55" t="s">
        <v>217</v>
      </c>
    </row>
    <row r="56" spans="1:5" x14ac:dyDescent="0.25">
      <c r="B56" t="s">
        <v>227</v>
      </c>
      <c r="C56" t="s">
        <v>218</v>
      </c>
      <c r="E56" t="s">
        <v>220</v>
      </c>
    </row>
    <row r="57" spans="1:5" x14ac:dyDescent="0.25">
      <c r="B57" t="s">
        <v>228</v>
      </c>
      <c r="C57" t="s">
        <v>219</v>
      </c>
      <c r="E57" t="s">
        <v>221</v>
      </c>
    </row>
    <row r="59" spans="1:5" x14ac:dyDescent="0.25">
      <c r="A59" s="73">
        <v>11</v>
      </c>
      <c r="B59" s="73" t="s">
        <v>222</v>
      </c>
    </row>
    <row r="60" spans="1:5" x14ac:dyDescent="0.25">
      <c r="B60" t="s">
        <v>223</v>
      </c>
    </row>
    <row r="61" spans="1:5" x14ac:dyDescent="0.25">
      <c r="B61" t="s">
        <v>224</v>
      </c>
    </row>
    <row r="63" spans="1:5" x14ac:dyDescent="0.25">
      <c r="A63" s="73">
        <v>12</v>
      </c>
      <c r="B63" s="73" t="s">
        <v>225</v>
      </c>
    </row>
    <row r="64" spans="1:5" x14ac:dyDescent="0.25">
      <c r="B64" t="s">
        <v>229</v>
      </c>
    </row>
    <row r="65" spans="1:2" x14ac:dyDescent="0.25">
      <c r="B65" t="s">
        <v>230</v>
      </c>
    </row>
    <row r="66" spans="1:2" x14ac:dyDescent="0.25">
      <c r="B66" t="s">
        <v>231</v>
      </c>
    </row>
    <row r="67" spans="1:2" x14ac:dyDescent="0.25">
      <c r="B67" t="s">
        <v>232</v>
      </c>
    </row>
    <row r="68" spans="1:2" x14ac:dyDescent="0.25">
      <c r="B68" t="s">
        <v>233</v>
      </c>
    </row>
    <row r="69" spans="1:2" x14ac:dyDescent="0.25">
      <c r="B69" t="s">
        <v>234</v>
      </c>
    </row>
    <row r="71" spans="1:2" x14ac:dyDescent="0.25">
      <c r="A71" s="73">
        <v>13</v>
      </c>
      <c r="B71" s="73" t="s">
        <v>255</v>
      </c>
    </row>
    <row r="72" spans="1:2" x14ac:dyDescent="0.25">
      <c r="B72" t="s">
        <v>236</v>
      </c>
    </row>
    <row r="73" spans="1:2" x14ac:dyDescent="0.25">
      <c r="B73" t="s">
        <v>253</v>
      </c>
    </row>
    <row r="74" spans="1:2" x14ac:dyDescent="0.25">
      <c r="B74" t="s">
        <v>254</v>
      </c>
    </row>
    <row r="77" spans="1:2" x14ac:dyDescent="0.25">
      <c r="A77" s="73">
        <v>14</v>
      </c>
      <c r="B77" t="s">
        <v>261</v>
      </c>
    </row>
  </sheetData>
  <sheetProtection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N33"/>
  <sheetViews>
    <sheetView workbookViewId="0"/>
  </sheetViews>
  <sheetFormatPr defaultRowHeight="15" x14ac:dyDescent="0.25"/>
  <cols>
    <col min="2" max="2" width="20" customWidth="1"/>
    <col min="3" max="3" width="9" customWidth="1"/>
    <col min="4" max="4" width="8" customWidth="1"/>
    <col min="5" max="5" width="7.85546875" customWidth="1"/>
    <col min="6" max="6" width="11.140625" customWidth="1"/>
    <col min="8" max="8" width="12.5703125" customWidth="1"/>
    <col min="9" max="9" width="8.42578125" customWidth="1"/>
    <col min="11" max="11" width="13.42578125" customWidth="1"/>
    <col min="12" max="12" width="11.42578125" customWidth="1"/>
    <col min="13" max="13" width="11.5703125" customWidth="1"/>
    <col min="14" max="14" width="13.5703125" customWidth="1"/>
    <col min="15" max="15" width="14.140625" customWidth="1"/>
    <col min="18" max="18" width="10.85546875" customWidth="1"/>
  </cols>
  <sheetData>
    <row r="1" spans="2:14" ht="26.25" x14ac:dyDescent="0.4">
      <c r="B1" s="190" t="s">
        <v>262</v>
      </c>
      <c r="C1" s="191"/>
      <c r="D1" s="191"/>
      <c r="E1" s="191"/>
      <c r="F1" s="191"/>
    </row>
    <row r="5" spans="2:14" ht="23.25" x14ac:dyDescent="0.35">
      <c r="B5" s="192" t="s">
        <v>96</v>
      </c>
    </row>
    <row r="6" spans="2:14" x14ac:dyDescent="0.25">
      <c r="K6" s="2"/>
      <c r="L6" s="2"/>
      <c r="M6" s="2"/>
      <c r="N6" s="2"/>
    </row>
    <row r="7" spans="2:14" x14ac:dyDescent="0.25">
      <c r="K7" s="2" t="s">
        <v>85</v>
      </c>
      <c r="L7" s="2"/>
      <c r="M7" s="2"/>
      <c r="N7" s="2"/>
    </row>
    <row r="8" spans="2:14" x14ac:dyDescent="0.25">
      <c r="K8" s="2"/>
      <c r="L8" s="2"/>
      <c r="M8" s="2"/>
      <c r="N8" s="2"/>
    </row>
    <row r="9" spans="2:14" x14ac:dyDescent="0.25">
      <c r="K9" s="70" t="s">
        <v>76</v>
      </c>
      <c r="L9" s="2"/>
      <c r="M9" s="2"/>
      <c r="N9" s="2"/>
    </row>
    <row r="10" spans="2:14" x14ac:dyDescent="0.25">
      <c r="K10" s="134">
        <v>40664</v>
      </c>
      <c r="L10" s="2"/>
      <c r="M10" s="2"/>
      <c r="N10" s="2"/>
    </row>
    <row r="11" spans="2:14" x14ac:dyDescent="0.25">
      <c r="K11" s="71" t="s">
        <v>77</v>
      </c>
      <c r="L11" s="71" t="s">
        <v>78</v>
      </c>
      <c r="M11" s="71" t="s">
        <v>79</v>
      </c>
      <c r="N11" s="75" t="s">
        <v>80</v>
      </c>
    </row>
    <row r="12" spans="2:14" x14ac:dyDescent="0.25">
      <c r="K12" s="71" t="s">
        <v>81</v>
      </c>
      <c r="L12" s="72">
        <v>12111</v>
      </c>
      <c r="M12" s="72">
        <v>1023</v>
      </c>
      <c r="N12" s="75">
        <v>11.84</v>
      </c>
    </row>
    <row r="13" spans="2:14" x14ac:dyDescent="0.25">
      <c r="K13" s="71" t="s">
        <v>8</v>
      </c>
      <c r="L13" s="72">
        <v>13695</v>
      </c>
      <c r="M13" s="71">
        <v>1.968</v>
      </c>
      <c r="N13" s="75">
        <v>6.98</v>
      </c>
    </row>
    <row r="14" spans="2:14" x14ac:dyDescent="0.25">
      <c r="B14" s="73" t="s">
        <v>200</v>
      </c>
      <c r="H14" s="135" t="s">
        <v>103</v>
      </c>
      <c r="I14" s="88" t="s">
        <v>70</v>
      </c>
      <c r="K14" s="71" t="s">
        <v>82</v>
      </c>
      <c r="L14" s="72">
        <v>12639</v>
      </c>
      <c r="M14" s="72">
        <v>1153</v>
      </c>
      <c r="N14" s="75">
        <v>10.96</v>
      </c>
    </row>
    <row r="15" spans="2:14" x14ac:dyDescent="0.25">
      <c r="B15" s="84" t="s">
        <v>94</v>
      </c>
      <c r="C15" s="84" t="s">
        <v>125</v>
      </c>
      <c r="D15" s="84"/>
      <c r="E15" s="84"/>
      <c r="F15" s="84" t="s">
        <v>67</v>
      </c>
      <c r="G15" s="86" t="s">
        <v>66</v>
      </c>
      <c r="H15" s="89" t="s">
        <v>93</v>
      </c>
      <c r="I15" s="90" t="s">
        <v>69</v>
      </c>
      <c r="K15" s="71" t="s">
        <v>83</v>
      </c>
      <c r="L15" s="72">
        <v>12833</v>
      </c>
      <c r="M15" s="72">
        <v>1245</v>
      </c>
      <c r="N15" s="75">
        <v>10.31</v>
      </c>
    </row>
    <row r="16" spans="2:14" x14ac:dyDescent="0.25">
      <c r="B16" s="85" t="s">
        <v>95</v>
      </c>
      <c r="C16" s="85" t="s">
        <v>90</v>
      </c>
      <c r="D16" s="136" t="s">
        <v>11</v>
      </c>
      <c r="E16" s="85" t="s">
        <v>66</v>
      </c>
      <c r="F16" s="85" t="s">
        <v>66</v>
      </c>
      <c r="G16" s="87"/>
      <c r="H16" s="91" t="s">
        <v>41</v>
      </c>
      <c r="I16" s="76" t="s">
        <v>59</v>
      </c>
      <c r="K16" s="71" t="s">
        <v>84</v>
      </c>
      <c r="L16" s="72">
        <v>13083</v>
      </c>
      <c r="M16" s="72">
        <v>1362</v>
      </c>
      <c r="N16" s="75">
        <v>9.61</v>
      </c>
    </row>
    <row r="17" spans="1:14" x14ac:dyDescent="0.25">
      <c r="B17" s="65" t="s">
        <v>8</v>
      </c>
      <c r="C17" s="211"/>
      <c r="D17" s="212"/>
      <c r="E17" s="211"/>
      <c r="F17" s="209">
        <v>50</v>
      </c>
      <c r="G17" s="65" t="s">
        <v>68</v>
      </c>
      <c r="H17" s="83">
        <v>6.98</v>
      </c>
      <c r="I17" s="67">
        <f>+F17/H17</f>
        <v>7.1633237822349569</v>
      </c>
      <c r="K17" s="71"/>
      <c r="L17" s="71"/>
      <c r="M17" s="71"/>
      <c r="N17" s="75"/>
    </row>
    <row r="18" spans="1:14" x14ac:dyDescent="0.25">
      <c r="B18" s="65" t="s">
        <v>65</v>
      </c>
      <c r="C18" s="211"/>
      <c r="D18" s="212"/>
      <c r="E18" s="211"/>
      <c r="F18" s="209">
        <v>65</v>
      </c>
      <c r="G18" s="65" t="s">
        <v>68</v>
      </c>
      <c r="H18" s="83">
        <v>10.31</v>
      </c>
      <c r="I18" s="67">
        <f>+F18/H18</f>
        <v>6.3045586808923373</v>
      </c>
    </row>
    <row r="19" spans="1:14" x14ac:dyDescent="0.25">
      <c r="B19" s="65" t="s">
        <v>86</v>
      </c>
      <c r="C19" s="211"/>
      <c r="D19" s="212"/>
      <c r="E19" s="211"/>
      <c r="F19" s="209">
        <v>4.5</v>
      </c>
      <c r="G19" s="65" t="s">
        <v>59</v>
      </c>
      <c r="H19" s="83">
        <v>1</v>
      </c>
      <c r="I19" s="67">
        <f>+F19/H19</f>
        <v>4.5</v>
      </c>
    </row>
    <row r="20" spans="1:14" x14ac:dyDescent="0.25">
      <c r="B20" s="65" t="s">
        <v>130</v>
      </c>
      <c r="C20" s="211"/>
      <c r="D20" s="212"/>
      <c r="E20" s="211"/>
      <c r="F20" s="209">
        <v>13.5</v>
      </c>
      <c r="G20" s="65" t="s">
        <v>59</v>
      </c>
      <c r="H20" s="83">
        <v>1</v>
      </c>
      <c r="I20" s="67">
        <f>+F20/H20</f>
        <v>13.5</v>
      </c>
    </row>
    <row r="22" spans="1:14" ht="36" customHeight="1" x14ac:dyDescent="0.25">
      <c r="A22" s="193" t="s">
        <v>194</v>
      </c>
      <c r="B22" s="214" t="s">
        <v>92</v>
      </c>
      <c r="C22" s="65"/>
      <c r="D22" s="215" t="s">
        <v>11</v>
      </c>
      <c r="E22" s="214" t="s">
        <v>66</v>
      </c>
      <c r="F22" s="213" t="s">
        <v>237</v>
      </c>
      <c r="G22" s="214" t="s">
        <v>66</v>
      </c>
      <c r="H22" s="83"/>
      <c r="I22" s="67"/>
    </row>
    <row r="23" spans="1:14" x14ac:dyDescent="0.25">
      <c r="A23" s="193" t="s">
        <v>195</v>
      </c>
      <c r="B23" s="65" t="s">
        <v>73</v>
      </c>
      <c r="C23" s="69">
        <v>0.08</v>
      </c>
      <c r="D23" s="209">
        <v>180</v>
      </c>
      <c r="E23" s="65" t="s">
        <v>74</v>
      </c>
      <c r="F23" s="67">
        <f t="shared" ref="F23:F28" si="0">+D23/10</f>
        <v>18</v>
      </c>
      <c r="G23" s="68" t="s">
        <v>88</v>
      </c>
      <c r="H23" s="83">
        <v>4.9000000000000004</v>
      </c>
      <c r="I23" s="67">
        <f t="shared" ref="I23:I28" si="1">+F23/H23</f>
        <v>3.6734693877551017</v>
      </c>
    </row>
    <row r="24" spans="1:14" x14ac:dyDescent="0.25">
      <c r="A24" s="193" t="s">
        <v>196</v>
      </c>
      <c r="B24" s="65" t="s">
        <v>54</v>
      </c>
      <c r="C24" s="69">
        <v>0.3</v>
      </c>
      <c r="D24" s="209">
        <v>100</v>
      </c>
      <c r="E24" s="65" t="s">
        <v>74</v>
      </c>
      <c r="F24" s="67">
        <f t="shared" si="0"/>
        <v>10</v>
      </c>
      <c r="G24" s="65" t="s">
        <v>89</v>
      </c>
      <c r="H24" s="83">
        <v>3.71</v>
      </c>
      <c r="I24" s="67">
        <f t="shared" si="1"/>
        <v>2.6954177897574123</v>
      </c>
    </row>
    <row r="25" spans="1:14" x14ac:dyDescent="0.25">
      <c r="A25" s="193" t="s">
        <v>197</v>
      </c>
      <c r="B25" s="65" t="s">
        <v>3</v>
      </c>
      <c r="C25" s="69">
        <v>0.2</v>
      </c>
      <c r="D25" s="209">
        <v>100</v>
      </c>
      <c r="E25" s="65" t="s">
        <v>74</v>
      </c>
      <c r="F25" s="67">
        <f t="shared" si="0"/>
        <v>10</v>
      </c>
      <c r="G25" s="65" t="s">
        <v>74</v>
      </c>
      <c r="H25" s="83">
        <v>4.24</v>
      </c>
      <c r="I25" s="67">
        <f t="shared" si="1"/>
        <v>2.3584905660377355</v>
      </c>
    </row>
    <row r="26" spans="1:14" x14ac:dyDescent="0.25">
      <c r="A26" s="193" t="s">
        <v>198</v>
      </c>
      <c r="B26" s="65" t="s">
        <v>122</v>
      </c>
      <c r="C26" s="69">
        <v>0.15</v>
      </c>
      <c r="D26" s="209">
        <v>60</v>
      </c>
      <c r="E26" s="65" t="s">
        <v>74</v>
      </c>
      <c r="F26" s="67">
        <f t="shared" si="0"/>
        <v>6</v>
      </c>
      <c r="G26" s="65" t="s">
        <v>74</v>
      </c>
      <c r="H26" s="83">
        <v>4.42</v>
      </c>
      <c r="I26" s="67">
        <f t="shared" si="1"/>
        <v>1.3574660633484164</v>
      </c>
    </row>
    <row r="27" spans="1:14" x14ac:dyDescent="0.25">
      <c r="A27" s="193" t="s">
        <v>199</v>
      </c>
      <c r="B27" s="65" t="s">
        <v>123</v>
      </c>
      <c r="C27" s="69">
        <v>0.08</v>
      </c>
      <c r="D27" s="209">
        <v>160</v>
      </c>
      <c r="E27" s="65" t="s">
        <v>74</v>
      </c>
      <c r="F27" s="67">
        <f t="shared" si="0"/>
        <v>16</v>
      </c>
      <c r="G27" s="65" t="s">
        <v>74</v>
      </c>
      <c r="H27" s="83">
        <v>4.8</v>
      </c>
      <c r="I27" s="67">
        <f t="shared" si="1"/>
        <v>3.3333333333333335</v>
      </c>
    </row>
    <row r="28" spans="1:14" x14ac:dyDescent="0.25">
      <c r="A28" s="193" t="s">
        <v>199</v>
      </c>
      <c r="B28" s="65" t="s">
        <v>124</v>
      </c>
      <c r="C28" s="69">
        <v>0.15</v>
      </c>
      <c r="D28" s="209">
        <v>140</v>
      </c>
      <c r="E28" s="65" t="s">
        <v>74</v>
      </c>
      <c r="F28" s="67">
        <f t="shared" si="0"/>
        <v>14</v>
      </c>
      <c r="G28" s="65" t="s">
        <v>74</v>
      </c>
      <c r="H28" s="83">
        <v>4.4000000000000004</v>
      </c>
      <c r="I28" s="67">
        <f t="shared" si="1"/>
        <v>3.1818181818181817</v>
      </c>
    </row>
    <row r="32" spans="1:14" x14ac:dyDescent="0.25">
      <c r="B32" t="s">
        <v>87</v>
      </c>
    </row>
    <row r="33" spans="2:2" x14ac:dyDescent="0.25">
      <c r="B33" t="s">
        <v>91</v>
      </c>
    </row>
  </sheetData>
  <sheetProtection selectLockedCells="1"/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0.39997558519241921"/>
  </sheetPr>
  <dimension ref="A2:L44"/>
  <sheetViews>
    <sheetView workbookViewId="0"/>
  </sheetViews>
  <sheetFormatPr defaultRowHeight="15" x14ac:dyDescent="0.25"/>
  <cols>
    <col min="1" max="1" width="9.140625" style="113" customWidth="1"/>
    <col min="2" max="2" width="10.42578125" customWidth="1"/>
    <col min="3" max="3" width="19.5703125" customWidth="1"/>
    <col min="4" max="4" width="9.140625" customWidth="1"/>
    <col min="5" max="5" width="16.42578125" customWidth="1"/>
    <col min="9" max="9" width="5.5703125" customWidth="1"/>
    <col min="10" max="10" width="13.5703125" customWidth="1"/>
    <col min="11" max="11" width="12.140625" customWidth="1"/>
    <col min="12" max="12" width="11.140625" customWidth="1"/>
    <col min="14" max="14" width="15.140625" customWidth="1"/>
    <col min="15" max="15" width="16.5703125" customWidth="1"/>
  </cols>
  <sheetData>
    <row r="2" spans="2:12" ht="44.25" customHeight="1" x14ac:dyDescent="0.35">
      <c r="B2" s="114" t="s">
        <v>58</v>
      </c>
      <c r="C2" s="114"/>
      <c r="D2" s="114"/>
    </row>
    <row r="3" spans="2:12" ht="15.75" thickBot="1" x14ac:dyDescent="0.3"/>
    <row r="4" spans="2:12" x14ac:dyDescent="0.25">
      <c r="B4" s="77"/>
      <c r="C4" s="78"/>
      <c r="D4" s="78"/>
      <c r="E4" s="78" t="s">
        <v>170</v>
      </c>
      <c r="F4" s="79"/>
      <c r="H4" s="77" t="s">
        <v>132</v>
      </c>
      <c r="I4" s="78"/>
      <c r="J4" s="78"/>
      <c r="K4" s="78"/>
      <c r="L4" s="79"/>
    </row>
    <row r="5" spans="2:12" x14ac:dyDescent="0.25">
      <c r="B5" s="80"/>
      <c r="C5" s="81"/>
      <c r="D5" s="81"/>
      <c r="E5" s="81" t="s">
        <v>10</v>
      </c>
      <c r="F5" s="82"/>
      <c r="H5" s="80"/>
      <c r="I5" s="81"/>
      <c r="J5" s="81"/>
      <c r="K5" s="81" t="s">
        <v>4</v>
      </c>
      <c r="L5" s="82"/>
    </row>
    <row r="6" spans="2:12" ht="24" x14ac:dyDescent="0.45">
      <c r="B6" s="169" t="s">
        <v>5</v>
      </c>
      <c r="C6" s="170"/>
      <c r="D6" s="170" t="s">
        <v>4</v>
      </c>
      <c r="E6" s="170" t="s">
        <v>171</v>
      </c>
      <c r="F6" s="82"/>
      <c r="H6" s="80"/>
      <c r="I6" s="81" t="s">
        <v>56</v>
      </c>
      <c r="J6" s="81"/>
      <c r="K6" s="168">
        <f>+'Fuel Calcs'!I24</f>
        <v>2.6954177897574123</v>
      </c>
      <c r="L6" s="82"/>
    </row>
    <row r="7" spans="2:12" ht="21" x14ac:dyDescent="0.35">
      <c r="B7" s="169">
        <v>1</v>
      </c>
      <c r="C7" s="170" t="s">
        <v>6</v>
      </c>
      <c r="D7" s="171">
        <f>+'Fuel Calcs'!I19</f>
        <v>4.5</v>
      </c>
      <c r="E7" s="172">
        <f>+Carbon!L15/1000</f>
        <v>0.25919999999999999</v>
      </c>
      <c r="F7" s="82"/>
      <c r="H7" s="80"/>
      <c r="I7" s="81" t="s">
        <v>55</v>
      </c>
      <c r="J7" s="81"/>
      <c r="K7" s="168">
        <f>+'Fuel Calcs'!I23</f>
        <v>3.6734693877551017</v>
      </c>
      <c r="L7" s="82"/>
    </row>
    <row r="8" spans="2:12" ht="21" x14ac:dyDescent="0.35">
      <c r="B8" s="169">
        <v>2</v>
      </c>
      <c r="C8" s="170" t="s">
        <v>7</v>
      </c>
      <c r="D8" s="171">
        <f>+'Fuel Calcs'!I18</f>
        <v>6.3045586808923373</v>
      </c>
      <c r="E8" s="172">
        <f>+Carbon!L14/1000</f>
        <v>0.33600000000000002</v>
      </c>
      <c r="F8" s="82"/>
      <c r="H8" s="80"/>
      <c r="I8" s="81" t="s">
        <v>3</v>
      </c>
      <c r="J8" s="81"/>
      <c r="K8" s="168">
        <f>+'Fuel Calcs'!I25</f>
        <v>2.3584905660377355</v>
      </c>
      <c r="L8" s="82"/>
    </row>
    <row r="9" spans="2:12" ht="21" x14ac:dyDescent="0.35">
      <c r="B9" s="169">
        <v>3</v>
      </c>
      <c r="C9" s="170" t="s">
        <v>8</v>
      </c>
      <c r="D9" s="171">
        <f>+'Fuel Calcs'!I17</f>
        <v>7.1633237822349569</v>
      </c>
      <c r="E9" s="172">
        <f>+Carbon!L16/1000</f>
        <v>0.31007999999999997</v>
      </c>
      <c r="F9" s="82"/>
      <c r="H9" s="80"/>
      <c r="I9" s="81" t="s">
        <v>122</v>
      </c>
      <c r="J9" s="81"/>
      <c r="K9" s="168">
        <f>+'Fuel Calcs'!I26</f>
        <v>1.3574660633484164</v>
      </c>
      <c r="L9" s="82"/>
    </row>
    <row r="10" spans="2:12" ht="21" x14ac:dyDescent="0.35">
      <c r="B10" s="169">
        <v>4</v>
      </c>
      <c r="C10" s="170" t="s">
        <v>129</v>
      </c>
      <c r="D10" s="171">
        <f>+'Fuel Calcs'!I20</f>
        <v>13.5</v>
      </c>
      <c r="E10" s="172">
        <f>+Carbon!L17/1000</f>
        <v>0.50879999999999992</v>
      </c>
      <c r="F10" s="82"/>
      <c r="H10" s="80"/>
      <c r="I10" s="81" t="s">
        <v>123</v>
      </c>
      <c r="J10" s="81"/>
      <c r="K10" s="168">
        <f>+'Fuel Calcs'!I27</f>
        <v>3.3333333333333335</v>
      </c>
      <c r="L10" s="82"/>
    </row>
    <row r="11" spans="2:12" ht="21" x14ac:dyDescent="0.35">
      <c r="B11" s="169"/>
      <c r="C11" s="170"/>
      <c r="D11" s="170"/>
      <c r="E11" s="170"/>
      <c r="F11" s="82"/>
      <c r="H11" s="80"/>
      <c r="I11" s="81" t="s">
        <v>124</v>
      </c>
      <c r="J11" s="81"/>
      <c r="K11" s="168">
        <f>+'Fuel Calcs'!I28</f>
        <v>3.1818181818181817</v>
      </c>
      <c r="L11" s="82"/>
    </row>
    <row r="12" spans="2:12" ht="21.75" thickBot="1" x14ac:dyDescent="0.4">
      <c r="B12" s="173" t="s">
        <v>131</v>
      </c>
      <c r="C12" s="174"/>
      <c r="D12" s="174"/>
      <c r="E12" s="174"/>
      <c r="F12" s="117"/>
      <c r="H12" s="115"/>
      <c r="I12" s="116"/>
      <c r="J12" s="116"/>
      <c r="K12" s="116"/>
      <c r="L12" s="117"/>
    </row>
    <row r="13" spans="2:12" ht="21" x14ac:dyDescent="0.35">
      <c r="B13" s="140"/>
      <c r="C13" s="140"/>
      <c r="D13" s="140"/>
      <c r="E13" s="140"/>
    </row>
    <row r="14" spans="2:12" ht="21" x14ac:dyDescent="0.35">
      <c r="B14" s="140"/>
      <c r="C14" s="140"/>
      <c r="D14" s="140"/>
      <c r="E14" s="140"/>
    </row>
    <row r="20" spans="1:12" ht="15.75" thickBot="1" x14ac:dyDescent="0.3">
      <c r="A20" s="161" t="s">
        <v>174</v>
      </c>
      <c r="H20" s="73" t="s">
        <v>175</v>
      </c>
    </row>
    <row r="21" spans="1:12" x14ac:dyDescent="0.25">
      <c r="A21" s="131"/>
      <c r="B21" s="122"/>
      <c r="C21" s="122"/>
      <c r="D21" s="78"/>
      <c r="E21" s="79"/>
      <c r="H21" s="77"/>
      <c r="I21" s="78"/>
      <c r="J21" s="122" t="s">
        <v>13</v>
      </c>
      <c r="K21" s="78"/>
      <c r="L21" s="79" t="s">
        <v>13</v>
      </c>
    </row>
    <row r="22" spans="1:12" x14ac:dyDescent="0.25">
      <c r="A22" s="132" t="s">
        <v>2</v>
      </c>
      <c r="B22" s="123" t="s">
        <v>42</v>
      </c>
      <c r="C22" s="123" t="s">
        <v>44</v>
      </c>
      <c r="D22" s="81"/>
      <c r="E22" s="82"/>
      <c r="H22" s="80" t="s">
        <v>20</v>
      </c>
      <c r="I22" s="81"/>
      <c r="J22" s="123" t="s">
        <v>20</v>
      </c>
      <c r="K22" s="81"/>
      <c r="L22" s="82" t="s">
        <v>20</v>
      </c>
    </row>
    <row r="23" spans="1:12" x14ac:dyDescent="0.25">
      <c r="A23" s="132"/>
      <c r="B23" s="123" t="s">
        <v>41</v>
      </c>
      <c r="C23" s="123" t="s">
        <v>45</v>
      </c>
      <c r="D23" s="81"/>
      <c r="E23" s="82" t="s">
        <v>43</v>
      </c>
      <c r="H23" s="80" t="s">
        <v>47</v>
      </c>
      <c r="I23" s="81"/>
      <c r="J23" s="123" t="s">
        <v>47</v>
      </c>
      <c r="K23" s="81"/>
      <c r="L23" s="82" t="s">
        <v>47</v>
      </c>
    </row>
    <row r="24" spans="1:12" ht="15.75" thickBot="1" x14ac:dyDescent="0.3">
      <c r="A24" s="133"/>
      <c r="B24" s="124"/>
      <c r="C24" s="124"/>
      <c r="D24" s="116"/>
      <c r="E24" s="117" t="s">
        <v>41</v>
      </c>
      <c r="H24" s="115" t="s">
        <v>48</v>
      </c>
      <c r="I24" s="116"/>
      <c r="J24" s="124" t="s">
        <v>49</v>
      </c>
      <c r="K24" s="116"/>
      <c r="L24" s="117" t="s">
        <v>50</v>
      </c>
    </row>
    <row r="25" spans="1:12" x14ac:dyDescent="0.25">
      <c r="A25" s="132">
        <v>1</v>
      </c>
      <c r="B25" s="130">
        <f>1+('Calc sheet'!D17)</f>
        <v>1.03</v>
      </c>
      <c r="C25" s="127">
        <f>+B25</f>
        <v>1.03</v>
      </c>
      <c r="D25" s="81"/>
      <c r="E25" s="82">
        <f>1/C25</f>
        <v>0.970873786407767</v>
      </c>
      <c r="H25" s="118">
        <f>1+'Calc sheet'!$K$17</f>
        <v>1.03</v>
      </c>
      <c r="I25" s="81"/>
      <c r="J25" s="125">
        <f>1+'Calc sheet'!$E$14</f>
        <v>1.03</v>
      </c>
      <c r="K25" s="81"/>
      <c r="L25" s="119">
        <f>1+'Calc sheet'!$K$14</f>
        <v>1.07</v>
      </c>
    </row>
    <row r="26" spans="1:12" x14ac:dyDescent="0.25">
      <c r="A26" s="132">
        <v>2</v>
      </c>
      <c r="B26" s="125">
        <f>+B25</f>
        <v>1.03</v>
      </c>
      <c r="C26" s="128">
        <f>+B26*B25</f>
        <v>1.0609</v>
      </c>
      <c r="D26" s="81"/>
      <c r="E26" s="82">
        <f>1/C26</f>
        <v>0.94259590913375435</v>
      </c>
      <c r="H26" s="118">
        <f>(1+'Calc sheet'!$K$17)*H25</f>
        <v>1.0609</v>
      </c>
      <c r="I26" s="81"/>
      <c r="J26" s="125">
        <f>(1+'Calc sheet'!$E$14)*J25</f>
        <v>1.0609</v>
      </c>
      <c r="K26" s="81"/>
      <c r="L26" s="119">
        <f>(1+'Calc sheet'!$K$14)*L25</f>
        <v>1.1449</v>
      </c>
    </row>
    <row r="27" spans="1:12" x14ac:dyDescent="0.25">
      <c r="A27" s="132">
        <v>3</v>
      </c>
      <c r="B27" s="125">
        <f t="shared" ref="B27:B44" si="0">+B26</f>
        <v>1.03</v>
      </c>
      <c r="C27" s="128">
        <f>+B27*C26</f>
        <v>1.092727</v>
      </c>
      <c r="D27" s="81"/>
      <c r="E27" s="82">
        <f t="shared" ref="E27:E39" si="1">1/C27</f>
        <v>0.91514165935315961</v>
      </c>
      <c r="H27" s="118">
        <f>(1+'Calc sheet'!$K$17)*H26</f>
        <v>1.092727</v>
      </c>
      <c r="I27" s="81"/>
      <c r="J27" s="125">
        <f>(1+'Calc sheet'!$E$14)*J26</f>
        <v>1.092727</v>
      </c>
      <c r="K27" s="81"/>
      <c r="L27" s="119">
        <f>(1+'Calc sheet'!$K$14)*L26</f>
        <v>1.2250430000000001</v>
      </c>
    </row>
    <row r="28" spans="1:12" x14ac:dyDescent="0.25">
      <c r="A28" s="132">
        <v>4</v>
      </c>
      <c r="B28" s="125">
        <f t="shared" si="0"/>
        <v>1.03</v>
      </c>
      <c r="C28" s="128">
        <f t="shared" ref="C28:C39" si="2">+C27*B28</f>
        <v>1.1255088100000001</v>
      </c>
      <c r="D28" s="81"/>
      <c r="E28" s="82">
        <f t="shared" si="1"/>
        <v>0.88848704791568878</v>
      </c>
      <c r="H28" s="118">
        <f>(1+'Calc sheet'!$K$17)*H27</f>
        <v>1.1255088100000001</v>
      </c>
      <c r="I28" s="81"/>
      <c r="J28" s="125">
        <f>(1+'Calc sheet'!$E$14)*J27</f>
        <v>1.1255088100000001</v>
      </c>
      <c r="K28" s="81"/>
      <c r="L28" s="119">
        <f>(1+'Calc sheet'!$K$14)*L27</f>
        <v>1.3107960100000002</v>
      </c>
    </row>
    <row r="29" spans="1:12" x14ac:dyDescent="0.25">
      <c r="A29" s="132">
        <v>5</v>
      </c>
      <c r="B29" s="125">
        <f>+B28</f>
        <v>1.03</v>
      </c>
      <c r="C29" s="128">
        <f t="shared" si="2"/>
        <v>1.1592740743000001</v>
      </c>
      <c r="D29" s="81"/>
      <c r="E29" s="82">
        <f t="shared" si="1"/>
        <v>0.86260878438416388</v>
      </c>
      <c r="H29" s="118">
        <f>(1+'Calc sheet'!$K$17)*H28</f>
        <v>1.1592740743000001</v>
      </c>
      <c r="I29" s="81"/>
      <c r="J29" s="125">
        <f>(1+'Calc sheet'!$E$14)*J28</f>
        <v>1.1592740743000001</v>
      </c>
      <c r="K29" s="81"/>
      <c r="L29" s="119">
        <f>(1+'Calc sheet'!$K$14)*L28</f>
        <v>1.4025517307000004</v>
      </c>
    </row>
    <row r="30" spans="1:12" x14ac:dyDescent="0.25">
      <c r="A30" s="132">
        <v>6</v>
      </c>
      <c r="B30" s="125">
        <f>+B29</f>
        <v>1.03</v>
      </c>
      <c r="C30" s="128">
        <f t="shared" si="2"/>
        <v>1.1940522965290001</v>
      </c>
      <c r="D30" s="81"/>
      <c r="E30" s="82">
        <f t="shared" si="1"/>
        <v>0.83748425668365423</v>
      </c>
      <c r="H30" s="118">
        <f>(1+'Calc sheet'!$K$17)*H29</f>
        <v>1.1940522965290001</v>
      </c>
      <c r="I30" s="81"/>
      <c r="J30" s="125">
        <f>(1+'Calc sheet'!$E$14)*J29</f>
        <v>1.1940522965290001</v>
      </c>
      <c r="K30" s="81"/>
      <c r="L30" s="119">
        <f>(1+'Calc sheet'!$K$14)*L29</f>
        <v>1.5007303518490005</v>
      </c>
    </row>
    <row r="31" spans="1:12" x14ac:dyDescent="0.25">
      <c r="A31" s="132">
        <v>7</v>
      </c>
      <c r="B31" s="125">
        <f t="shared" si="0"/>
        <v>1.03</v>
      </c>
      <c r="C31" s="128">
        <f t="shared" si="2"/>
        <v>1.2298738654248702</v>
      </c>
      <c r="D31" s="81"/>
      <c r="E31" s="82">
        <f t="shared" si="1"/>
        <v>0.81309151134335356</v>
      </c>
      <c r="H31" s="118">
        <f>(1+'Calc sheet'!$K$17)*H30</f>
        <v>1.2298738654248702</v>
      </c>
      <c r="I31" s="81"/>
      <c r="J31" s="125">
        <f>(1+'Calc sheet'!$E$14)*J30</f>
        <v>1.2298738654248702</v>
      </c>
      <c r="K31" s="81"/>
      <c r="L31" s="119">
        <f>(1+'Calc sheet'!$K$14)*L30</f>
        <v>1.6057814764784306</v>
      </c>
    </row>
    <row r="32" spans="1:12" x14ac:dyDescent="0.25">
      <c r="A32" s="132">
        <v>8</v>
      </c>
      <c r="B32" s="125">
        <f t="shared" si="0"/>
        <v>1.03</v>
      </c>
      <c r="C32" s="128">
        <f t="shared" si="2"/>
        <v>1.2667700813876164</v>
      </c>
      <c r="D32" s="81"/>
      <c r="E32" s="82">
        <f t="shared" si="1"/>
        <v>0.7894092343139355</v>
      </c>
      <c r="H32" s="118">
        <f>(1+'Calc sheet'!$K$17)*H31</f>
        <v>1.2667700813876164</v>
      </c>
      <c r="I32" s="81"/>
      <c r="J32" s="125">
        <f>(1+'Calc sheet'!$E$14)*J31</f>
        <v>1.2667700813876164</v>
      </c>
      <c r="K32" s="81"/>
      <c r="L32" s="119">
        <f>(1+'Calc sheet'!$K$14)*L31</f>
        <v>1.7181861798319209</v>
      </c>
    </row>
    <row r="33" spans="1:12" x14ac:dyDescent="0.25">
      <c r="A33" s="132">
        <v>9</v>
      </c>
      <c r="B33" s="125">
        <f t="shared" si="0"/>
        <v>1.03</v>
      </c>
      <c r="C33" s="128">
        <f t="shared" si="2"/>
        <v>1.3047731838292449</v>
      </c>
      <c r="D33" s="81"/>
      <c r="E33" s="82">
        <f t="shared" si="1"/>
        <v>0.76641673234362673</v>
      </c>
      <c r="H33" s="118">
        <f>(1+'Calc sheet'!$K$17)*H32</f>
        <v>1.3047731838292449</v>
      </c>
      <c r="I33" s="81"/>
      <c r="J33" s="125">
        <f>(1+'Calc sheet'!$E$14)*J32</f>
        <v>1.3047731838292449</v>
      </c>
      <c r="K33" s="81"/>
      <c r="L33" s="119">
        <f>(1+'Calc sheet'!$K$14)*L32</f>
        <v>1.8384592124201555</v>
      </c>
    </row>
    <row r="34" spans="1:12" x14ac:dyDescent="0.25">
      <c r="A34" s="132">
        <v>10</v>
      </c>
      <c r="B34" s="125">
        <f t="shared" si="0"/>
        <v>1.03</v>
      </c>
      <c r="C34" s="128">
        <f t="shared" si="2"/>
        <v>1.3439163793441222</v>
      </c>
      <c r="D34" s="81"/>
      <c r="E34" s="82">
        <f t="shared" si="1"/>
        <v>0.74409391489672494</v>
      </c>
      <c r="H34" s="118">
        <f>(1+'Calc sheet'!$K$17)*H33</f>
        <v>1.3439163793441222</v>
      </c>
      <c r="I34" s="81"/>
      <c r="J34" s="125">
        <f>(1+'Calc sheet'!$E$14)*J33</f>
        <v>1.3439163793441222</v>
      </c>
      <c r="K34" s="81"/>
      <c r="L34" s="119">
        <f>(1+'Calc sheet'!$K$14)*L33</f>
        <v>1.9671513572895665</v>
      </c>
    </row>
    <row r="35" spans="1:12" x14ac:dyDescent="0.25">
      <c r="A35" s="132">
        <v>11</v>
      </c>
      <c r="B35" s="125">
        <f t="shared" si="0"/>
        <v>1.03</v>
      </c>
      <c r="C35" s="128">
        <f t="shared" si="2"/>
        <v>1.3842338707244459</v>
      </c>
      <c r="D35" s="81"/>
      <c r="E35" s="82">
        <f t="shared" si="1"/>
        <v>0.7224212765987621</v>
      </c>
      <c r="H35" s="118">
        <f>(1+'Calc sheet'!$K$17)*H34</f>
        <v>1.3842338707244459</v>
      </c>
      <c r="I35" s="81"/>
      <c r="J35" s="125">
        <f>(1+'Calc sheet'!$E$14)*J34</f>
        <v>1.3842338707244459</v>
      </c>
      <c r="K35" s="81"/>
      <c r="L35" s="119">
        <f>(1+'Calc sheet'!$K$14)*L34</f>
        <v>2.1048519522998363</v>
      </c>
    </row>
    <row r="36" spans="1:12" x14ac:dyDescent="0.25">
      <c r="A36" s="132">
        <v>12</v>
      </c>
      <c r="B36" s="125">
        <f t="shared" si="0"/>
        <v>1.03</v>
      </c>
      <c r="C36" s="128">
        <f t="shared" si="2"/>
        <v>1.4257608868461793</v>
      </c>
      <c r="D36" s="81"/>
      <c r="E36" s="82">
        <f t="shared" si="1"/>
        <v>0.70137988019297293</v>
      </c>
      <c r="H36" s="118">
        <f>(1+'Calc sheet'!$K$17)*H35</f>
        <v>1.4257608868461793</v>
      </c>
      <c r="I36" s="81"/>
      <c r="J36" s="125">
        <f>(1+'Calc sheet'!$E$14)*J35</f>
        <v>1.4257608868461793</v>
      </c>
      <c r="K36" s="81"/>
      <c r="L36" s="119">
        <f>(1+'Calc sheet'!$K$14)*L35</f>
        <v>2.2521915889608248</v>
      </c>
    </row>
    <row r="37" spans="1:12" x14ac:dyDescent="0.25">
      <c r="A37" s="132">
        <v>13</v>
      </c>
      <c r="B37" s="125">
        <f t="shared" si="0"/>
        <v>1.03</v>
      </c>
      <c r="C37" s="128">
        <f t="shared" si="2"/>
        <v>1.4685337134515648</v>
      </c>
      <c r="D37" s="81"/>
      <c r="E37" s="82">
        <f t="shared" si="1"/>
        <v>0.68095133999317747</v>
      </c>
      <c r="H37" s="118">
        <f>(1+'Calc sheet'!$K$17)*H36</f>
        <v>1.4685337134515648</v>
      </c>
      <c r="I37" s="81"/>
      <c r="J37" s="125">
        <f>(1+'Calc sheet'!$E$14)*J36</f>
        <v>1.4685337134515648</v>
      </c>
      <c r="K37" s="81"/>
      <c r="L37" s="119">
        <f>(1+'Calc sheet'!$K$14)*L36</f>
        <v>2.4098450001880827</v>
      </c>
    </row>
    <row r="38" spans="1:12" x14ac:dyDescent="0.25">
      <c r="A38" s="132">
        <v>14</v>
      </c>
      <c r="B38" s="125">
        <f t="shared" si="0"/>
        <v>1.03</v>
      </c>
      <c r="C38" s="128">
        <f t="shared" si="2"/>
        <v>1.5125897248551119</v>
      </c>
      <c r="D38" s="81"/>
      <c r="E38" s="82">
        <f t="shared" si="1"/>
        <v>0.6611178058186189</v>
      </c>
      <c r="H38" s="118">
        <f>(1+'Calc sheet'!$K$17)*H37</f>
        <v>1.5125897248551119</v>
      </c>
      <c r="I38" s="81"/>
      <c r="J38" s="125">
        <f>(1+'Calc sheet'!$E$14)*J37</f>
        <v>1.5125897248551119</v>
      </c>
      <c r="K38" s="81"/>
      <c r="L38" s="119">
        <f>(1+'Calc sheet'!$K$14)*L37</f>
        <v>2.5785341502012487</v>
      </c>
    </row>
    <row r="39" spans="1:12" x14ac:dyDescent="0.25">
      <c r="A39" s="132">
        <v>15</v>
      </c>
      <c r="B39" s="125">
        <f t="shared" si="0"/>
        <v>1.03</v>
      </c>
      <c r="C39" s="128">
        <f t="shared" si="2"/>
        <v>1.5579674166007653</v>
      </c>
      <c r="D39" s="81"/>
      <c r="E39" s="82">
        <f t="shared" si="1"/>
        <v>0.64186194739671731</v>
      </c>
      <c r="H39" s="118">
        <f>(1+'Calc sheet'!$K$17)*H38</f>
        <v>1.5579674166007653</v>
      </c>
      <c r="I39" s="81"/>
      <c r="J39" s="125">
        <f>(1+'Calc sheet'!$E$14)*J38</f>
        <v>1.5579674166007653</v>
      </c>
      <c r="K39" s="81"/>
      <c r="L39" s="119">
        <f>(1+'Calc sheet'!$K$14)*L38</f>
        <v>2.7590315407153363</v>
      </c>
    </row>
    <row r="40" spans="1:12" x14ac:dyDescent="0.25">
      <c r="A40" s="132">
        <v>16</v>
      </c>
      <c r="B40" s="125">
        <f t="shared" si="0"/>
        <v>1.03</v>
      </c>
      <c r="C40" s="128">
        <f>+C39*B40</f>
        <v>1.6047064390987884</v>
      </c>
      <c r="D40" s="81"/>
      <c r="E40" s="82">
        <f>1/C40</f>
        <v>0.6231669392201139</v>
      </c>
      <c r="H40" s="118">
        <f>(1+'Calc sheet'!$K$17)*H39</f>
        <v>1.6047064390987884</v>
      </c>
      <c r="I40" s="81"/>
      <c r="J40" s="125">
        <f>(1+'Calc sheet'!$E$14)*J39</f>
        <v>1.6047064390987884</v>
      </c>
      <c r="K40" s="81"/>
      <c r="L40" s="119">
        <f>(1+'Calc sheet'!$K$14)*L39</f>
        <v>2.9521637485654102</v>
      </c>
    </row>
    <row r="41" spans="1:12" x14ac:dyDescent="0.25">
      <c r="A41" s="132">
        <v>17</v>
      </c>
      <c r="B41" s="125">
        <f t="shared" si="0"/>
        <v>1.03</v>
      </c>
      <c r="C41" s="128">
        <f>+C40*B41</f>
        <v>1.652847632271752</v>
      </c>
      <c r="D41" s="81"/>
      <c r="E41" s="82">
        <f>1/C41</f>
        <v>0.60501644584477077</v>
      </c>
      <c r="H41" s="118">
        <f>(1+'Calc sheet'!$K$17)*H40</f>
        <v>1.652847632271752</v>
      </c>
      <c r="I41" s="81"/>
      <c r="J41" s="125">
        <f>(1+'Calc sheet'!$E$14)*J40</f>
        <v>1.652847632271752</v>
      </c>
      <c r="K41" s="81"/>
      <c r="L41" s="119">
        <f>(1+'Calc sheet'!$K$14)*L40</f>
        <v>3.1588152109649892</v>
      </c>
    </row>
    <row r="42" spans="1:12" x14ac:dyDescent="0.25">
      <c r="A42" s="132">
        <v>18</v>
      </c>
      <c r="B42" s="125">
        <f t="shared" si="0"/>
        <v>1.03</v>
      </c>
      <c r="C42" s="128">
        <f>+C41*B42</f>
        <v>1.7024330612399046</v>
      </c>
      <c r="D42" s="81"/>
      <c r="E42" s="82">
        <f>1/C42</f>
        <v>0.58739460761628226</v>
      </c>
      <c r="H42" s="118">
        <f>(1+'Calc sheet'!$K$17)*H41</f>
        <v>1.7024330612399046</v>
      </c>
      <c r="I42" s="81"/>
      <c r="J42" s="125">
        <f>(1+'Calc sheet'!$E$14)*J41</f>
        <v>1.7024330612399046</v>
      </c>
      <c r="K42" s="81"/>
      <c r="L42" s="119">
        <f>(1+'Calc sheet'!$K$14)*L41</f>
        <v>3.3799322757325387</v>
      </c>
    </row>
    <row r="43" spans="1:12" x14ac:dyDescent="0.25">
      <c r="A43" s="132">
        <v>19</v>
      </c>
      <c r="B43" s="125">
        <f t="shared" si="0"/>
        <v>1.03</v>
      </c>
      <c r="C43" s="128">
        <f>+C42*B43</f>
        <v>1.7535060530771018</v>
      </c>
      <c r="D43" s="81"/>
      <c r="E43" s="82">
        <f>1/C43</f>
        <v>0.57028602681192453</v>
      </c>
      <c r="H43" s="118">
        <f>(1+'Calc sheet'!$K$17)*H42</f>
        <v>1.7535060530771018</v>
      </c>
      <c r="I43" s="81"/>
      <c r="J43" s="125">
        <f>(1+'Calc sheet'!$E$14)*J42</f>
        <v>1.7535060530771018</v>
      </c>
      <c r="K43" s="81"/>
      <c r="L43" s="119">
        <f>(1+'Calc sheet'!$K$14)*L42</f>
        <v>3.6165275350338169</v>
      </c>
    </row>
    <row r="44" spans="1:12" ht="15.75" thickBot="1" x14ac:dyDescent="0.3">
      <c r="A44" s="133">
        <v>20</v>
      </c>
      <c r="B44" s="126">
        <f t="shared" si="0"/>
        <v>1.03</v>
      </c>
      <c r="C44" s="129">
        <f>+C43*B44</f>
        <v>1.806111234669415</v>
      </c>
      <c r="D44" s="116"/>
      <c r="E44" s="117">
        <f>1/C44</f>
        <v>0.55367575418633441</v>
      </c>
      <c r="H44" s="120">
        <f>(1+'Calc sheet'!$K$17)*H43</f>
        <v>1.806111234669415</v>
      </c>
      <c r="I44" s="116"/>
      <c r="J44" s="126">
        <f>(1+'Calc sheet'!$E$14)*J43</f>
        <v>1.806111234669415</v>
      </c>
      <c r="K44" s="116"/>
      <c r="L44" s="121">
        <f>(1+'Calc sheet'!$K$14)*L43</f>
        <v>3.8696844624861844</v>
      </c>
    </row>
  </sheetData>
  <sheetProtection selectLockedCells="1" selectUnlockedCells="1"/>
  <protectedRanges>
    <protectedRange sqref="I7" name="input range _green cells"/>
    <protectedRange sqref="I8:I12 I15:I19" name="input range _green cells_1"/>
  </protectedRanges>
  <dataValidations count="1">
    <dataValidation type="list" allowBlank="1" showInputMessage="1" showErrorMessage="1" sqref="I15:I19 I7:I12">
      <formula1>$T$9:$T$20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1" tint="4.9989318521683403E-2"/>
  </sheetPr>
  <dimension ref="B4:L31"/>
  <sheetViews>
    <sheetView workbookViewId="0"/>
  </sheetViews>
  <sheetFormatPr defaultRowHeight="15" x14ac:dyDescent="0.25"/>
  <cols>
    <col min="2" max="2" width="23.85546875" customWidth="1"/>
    <col min="3" max="6" width="7.85546875" customWidth="1"/>
    <col min="7" max="7" width="11.5703125" bestFit="1" customWidth="1"/>
    <col min="8" max="8" width="10.5703125" bestFit="1" customWidth="1"/>
    <col min="9" max="9" width="8.5703125" customWidth="1"/>
    <col min="10" max="10" width="10.85546875" customWidth="1"/>
  </cols>
  <sheetData>
    <row r="4" spans="2:12" ht="21" x14ac:dyDescent="0.35">
      <c r="B4" s="137" t="s">
        <v>263</v>
      </c>
    </row>
    <row r="5" spans="2:12" x14ac:dyDescent="0.25">
      <c r="C5" s="73"/>
      <c r="D5" s="73"/>
      <c r="E5" s="73"/>
      <c r="F5" s="73"/>
      <c r="G5" s="73"/>
      <c r="H5" s="73"/>
      <c r="I5" s="73"/>
      <c r="J5" s="73"/>
    </row>
    <row r="6" spans="2:12" ht="34.5" customHeight="1" x14ac:dyDescent="0.25">
      <c r="B6" s="148" t="s">
        <v>133</v>
      </c>
      <c r="F6" t="s">
        <v>166</v>
      </c>
    </row>
    <row r="7" spans="2:12" x14ac:dyDescent="0.25">
      <c r="B7" s="235" t="s">
        <v>165</v>
      </c>
      <c r="C7" s="235"/>
      <c r="D7" s="235"/>
      <c r="E7" s="235"/>
      <c r="F7" s="235"/>
      <c r="G7" s="235"/>
      <c r="H7" s="235"/>
      <c r="I7" s="235"/>
      <c r="J7" s="236"/>
    </row>
    <row r="8" spans="2:12" ht="15" customHeight="1" x14ac:dyDescent="0.25">
      <c r="B8" s="261" t="s">
        <v>134</v>
      </c>
      <c r="C8" s="261"/>
      <c r="D8" s="261"/>
      <c r="E8" s="261"/>
      <c r="F8" s="261"/>
      <c r="G8" s="261"/>
      <c r="H8" s="261"/>
      <c r="I8" s="261"/>
      <c r="J8" s="147"/>
    </row>
    <row r="9" spans="2:12" ht="48" customHeight="1" thickBot="1" x14ac:dyDescent="0.3">
      <c r="B9" s="262" t="s">
        <v>135</v>
      </c>
      <c r="C9" s="262"/>
      <c r="D9" s="262"/>
      <c r="E9" s="262"/>
      <c r="F9" s="262"/>
      <c r="G9" s="262"/>
      <c r="H9" s="262"/>
      <c r="I9" s="262"/>
      <c r="J9" s="147"/>
    </row>
    <row r="10" spans="2:12" ht="59.25" customHeight="1" thickTop="1" x14ac:dyDescent="0.25">
      <c r="B10" s="237" t="s">
        <v>13</v>
      </c>
      <c r="C10" s="240" t="s">
        <v>136</v>
      </c>
      <c r="D10" s="240" t="s">
        <v>137</v>
      </c>
      <c r="E10" s="243" t="s">
        <v>138</v>
      </c>
      <c r="F10" s="244"/>
      <c r="G10" s="243" t="s">
        <v>140</v>
      </c>
      <c r="H10" s="247"/>
      <c r="I10" s="248"/>
      <c r="J10" s="147"/>
      <c r="K10" s="77"/>
      <c r="L10" s="195">
        <v>0.96</v>
      </c>
    </row>
    <row r="11" spans="2:12" ht="23.25" thickBot="1" x14ac:dyDescent="0.3">
      <c r="B11" s="238"/>
      <c r="C11" s="241"/>
      <c r="D11" s="241"/>
      <c r="E11" s="245" t="s">
        <v>139</v>
      </c>
      <c r="F11" s="246"/>
      <c r="G11" s="245" t="s">
        <v>141</v>
      </c>
      <c r="H11" s="249"/>
      <c r="I11" s="250"/>
      <c r="J11" s="147"/>
      <c r="K11" s="80"/>
      <c r="L11" s="196" t="s">
        <v>169</v>
      </c>
    </row>
    <row r="12" spans="2:12" ht="57" thickBot="1" x14ac:dyDescent="0.3">
      <c r="B12" s="239"/>
      <c r="C12" s="242"/>
      <c r="D12" s="242"/>
      <c r="E12" s="149" t="s">
        <v>142</v>
      </c>
      <c r="F12" s="149" t="s">
        <v>143</v>
      </c>
      <c r="G12" s="149" t="s">
        <v>89</v>
      </c>
      <c r="H12" s="149" t="s">
        <v>144</v>
      </c>
      <c r="I12" s="152" t="s">
        <v>145</v>
      </c>
      <c r="J12" s="147" t="s">
        <v>167</v>
      </c>
      <c r="K12" s="197" t="s">
        <v>168</v>
      </c>
      <c r="L12" s="196" t="s">
        <v>168</v>
      </c>
    </row>
    <row r="13" spans="2:12" ht="23.25" customHeight="1" thickBot="1" x14ac:dyDescent="0.3">
      <c r="B13" s="153" t="s">
        <v>146</v>
      </c>
      <c r="C13" s="150">
        <v>29</v>
      </c>
      <c r="D13" s="150">
        <v>75</v>
      </c>
      <c r="E13" s="151">
        <v>134</v>
      </c>
      <c r="F13" s="151">
        <v>484</v>
      </c>
      <c r="G13" s="150">
        <v>9680</v>
      </c>
      <c r="H13" s="150">
        <v>-2680</v>
      </c>
      <c r="I13" s="154">
        <v>-4280</v>
      </c>
      <c r="J13" s="147">
        <f>+G13/20000</f>
        <v>0.48399999999999999</v>
      </c>
      <c r="K13" s="80">
        <f>+J13*1000</f>
        <v>484</v>
      </c>
      <c r="L13" s="198">
        <f>+K13*0.96</f>
        <v>464.64</v>
      </c>
    </row>
    <row r="14" spans="2:12" ht="15.75" thickBot="1" x14ac:dyDescent="0.3">
      <c r="B14" s="153" t="s">
        <v>147</v>
      </c>
      <c r="C14" s="150">
        <v>42</v>
      </c>
      <c r="D14" s="150">
        <v>85</v>
      </c>
      <c r="E14" s="151">
        <v>97</v>
      </c>
      <c r="F14" s="151">
        <v>350</v>
      </c>
      <c r="G14" s="150">
        <v>7000</v>
      </c>
      <c r="H14" s="150">
        <v>0</v>
      </c>
      <c r="I14" s="154">
        <v>-1600</v>
      </c>
      <c r="J14" s="147">
        <f t="shared" ref="J14:J28" si="0">+G14/20000</f>
        <v>0.35</v>
      </c>
      <c r="K14" s="80">
        <f>+J14*1000</f>
        <v>350</v>
      </c>
      <c r="L14" s="198">
        <f>+K14*0.96</f>
        <v>336</v>
      </c>
    </row>
    <row r="15" spans="2:12" ht="23.25" customHeight="1" thickBot="1" x14ac:dyDescent="0.3">
      <c r="B15" s="153" t="s">
        <v>148</v>
      </c>
      <c r="C15" s="150">
        <v>38</v>
      </c>
      <c r="D15" s="150">
        <v>75</v>
      </c>
      <c r="E15" s="151">
        <v>75</v>
      </c>
      <c r="F15" s="151">
        <v>270</v>
      </c>
      <c r="G15" s="150">
        <v>5400</v>
      </c>
      <c r="H15" s="150">
        <v>1600</v>
      </c>
      <c r="I15" s="154">
        <v>0</v>
      </c>
      <c r="J15" s="147">
        <f t="shared" si="0"/>
        <v>0.27</v>
      </c>
      <c r="K15" s="80">
        <f>+J15*1000</f>
        <v>270</v>
      </c>
      <c r="L15" s="198">
        <f>+K15*0.96</f>
        <v>259.2</v>
      </c>
    </row>
    <row r="16" spans="2:12" ht="15.75" thickBot="1" x14ac:dyDescent="0.3">
      <c r="B16" s="153" t="s">
        <v>8</v>
      </c>
      <c r="C16" s="150">
        <v>46</v>
      </c>
      <c r="D16" s="150">
        <v>82</v>
      </c>
      <c r="E16" s="151">
        <v>90</v>
      </c>
      <c r="F16" s="151">
        <v>323</v>
      </c>
      <c r="G16" s="150">
        <v>6460</v>
      </c>
      <c r="H16" s="150">
        <v>540</v>
      </c>
      <c r="I16" s="154">
        <v>-1060</v>
      </c>
      <c r="J16" s="147">
        <f t="shared" si="0"/>
        <v>0.32300000000000001</v>
      </c>
      <c r="K16" s="80">
        <f>+J16*1000</f>
        <v>323</v>
      </c>
      <c r="L16" s="198">
        <f>+K16*0.96</f>
        <v>310.08</v>
      </c>
    </row>
    <row r="17" spans="2:12" ht="22.5" customHeight="1" thickBot="1" x14ac:dyDescent="0.3">
      <c r="B17" s="155" t="s">
        <v>130</v>
      </c>
      <c r="C17" s="251" t="s">
        <v>150</v>
      </c>
      <c r="D17" s="251" t="s">
        <v>150</v>
      </c>
      <c r="E17" s="253">
        <v>150</v>
      </c>
      <c r="F17" s="253">
        <v>530</v>
      </c>
      <c r="G17" s="251">
        <v>10600</v>
      </c>
      <c r="H17" s="251">
        <v>-3600</v>
      </c>
      <c r="I17" s="255">
        <v>-5200</v>
      </c>
      <c r="J17" s="147">
        <f t="shared" si="0"/>
        <v>0.53</v>
      </c>
      <c r="K17" s="115">
        <f>+J17*1000</f>
        <v>530</v>
      </c>
      <c r="L17" s="199">
        <f>+K17*0.96</f>
        <v>508.79999999999995</v>
      </c>
    </row>
    <row r="18" spans="2:12" ht="23.25" customHeight="1" thickBot="1" x14ac:dyDescent="0.3">
      <c r="B18" s="156" t="s">
        <v>149</v>
      </c>
      <c r="C18" s="252"/>
      <c r="D18" s="252"/>
      <c r="E18" s="254"/>
      <c r="F18" s="254"/>
      <c r="G18" s="252"/>
      <c r="H18" s="252"/>
      <c r="I18" s="256"/>
      <c r="J18" s="147"/>
    </row>
    <row r="19" spans="2:12" ht="22.5" customHeight="1" x14ac:dyDescent="0.25">
      <c r="B19" s="155" t="s">
        <v>151</v>
      </c>
      <c r="C19" s="251">
        <v>14</v>
      </c>
      <c r="D19" s="251">
        <v>37.5</v>
      </c>
      <c r="E19" s="253">
        <v>2</v>
      </c>
      <c r="F19" s="253">
        <v>7</v>
      </c>
      <c r="G19" s="251">
        <v>140</v>
      </c>
      <c r="H19" s="251">
        <v>6860</v>
      </c>
      <c r="I19" s="255">
        <v>5260</v>
      </c>
      <c r="J19" s="147">
        <f t="shared" si="0"/>
        <v>7.0000000000000001E-3</v>
      </c>
    </row>
    <row r="20" spans="2:12" ht="45.75" customHeight="1" thickBot="1" x14ac:dyDescent="0.3">
      <c r="B20" s="156" t="s">
        <v>152</v>
      </c>
      <c r="C20" s="252"/>
      <c r="D20" s="252"/>
      <c r="E20" s="254"/>
      <c r="F20" s="254"/>
      <c r="G20" s="252"/>
      <c r="H20" s="252"/>
      <c r="I20" s="256"/>
      <c r="J20" s="147">
        <f t="shared" si="0"/>
        <v>0</v>
      </c>
    </row>
    <row r="21" spans="2:12" ht="22.5" customHeight="1" x14ac:dyDescent="0.25">
      <c r="B21" s="155" t="s">
        <v>151</v>
      </c>
      <c r="C21" s="251">
        <v>14</v>
      </c>
      <c r="D21" s="251">
        <v>37.5</v>
      </c>
      <c r="E21" s="253">
        <v>7</v>
      </c>
      <c r="F21" s="253">
        <v>25</v>
      </c>
      <c r="G21" s="251">
        <v>500</v>
      </c>
      <c r="H21" s="251">
        <v>6500</v>
      </c>
      <c r="I21" s="255">
        <v>4900</v>
      </c>
      <c r="J21" s="147">
        <f t="shared" si="0"/>
        <v>2.5000000000000001E-2</v>
      </c>
    </row>
    <row r="22" spans="2:12" ht="57" customHeight="1" thickBot="1" x14ac:dyDescent="0.3">
      <c r="B22" s="156" t="s">
        <v>153</v>
      </c>
      <c r="C22" s="252"/>
      <c r="D22" s="252"/>
      <c r="E22" s="254"/>
      <c r="F22" s="254"/>
      <c r="G22" s="252"/>
      <c r="H22" s="252"/>
      <c r="I22" s="256"/>
      <c r="J22" s="147">
        <f t="shared" si="0"/>
        <v>0</v>
      </c>
    </row>
    <row r="23" spans="2:12" ht="22.5" customHeight="1" x14ac:dyDescent="0.25">
      <c r="B23" s="155" t="s">
        <v>154</v>
      </c>
      <c r="C23" s="251">
        <v>17</v>
      </c>
      <c r="D23" s="251">
        <v>45</v>
      </c>
      <c r="E23" s="253">
        <v>4</v>
      </c>
      <c r="F23" s="253">
        <v>15</v>
      </c>
      <c r="G23" s="251">
        <v>300</v>
      </c>
      <c r="H23" s="251">
        <v>6700</v>
      </c>
      <c r="I23" s="255">
        <v>5100</v>
      </c>
      <c r="J23" s="147">
        <f t="shared" si="0"/>
        <v>1.4999999999999999E-2</v>
      </c>
    </row>
    <row r="24" spans="2:12" ht="90" customHeight="1" x14ac:dyDescent="0.25">
      <c r="B24" s="157" t="s">
        <v>155</v>
      </c>
      <c r="C24" s="258"/>
      <c r="D24" s="258"/>
      <c r="E24" s="259"/>
      <c r="F24" s="259"/>
      <c r="G24" s="258"/>
      <c r="H24" s="258"/>
      <c r="I24" s="257"/>
      <c r="J24" s="147"/>
    </row>
    <row r="25" spans="2:12" ht="23.25" customHeight="1" thickBot="1" x14ac:dyDescent="0.3">
      <c r="B25" s="156" t="s">
        <v>156</v>
      </c>
      <c r="C25" s="252"/>
      <c r="D25" s="252"/>
      <c r="E25" s="254"/>
      <c r="F25" s="254"/>
      <c r="G25" s="252"/>
      <c r="H25" s="252"/>
      <c r="I25" s="256"/>
      <c r="J25" s="147"/>
    </row>
    <row r="26" spans="2:12" ht="22.5" customHeight="1" x14ac:dyDescent="0.25">
      <c r="B26" s="155" t="s">
        <v>154</v>
      </c>
      <c r="C26" s="251">
        <v>17</v>
      </c>
      <c r="D26" s="251">
        <v>45</v>
      </c>
      <c r="E26" s="253">
        <v>9</v>
      </c>
      <c r="F26" s="253">
        <v>33</v>
      </c>
      <c r="G26" s="251">
        <v>660</v>
      </c>
      <c r="H26" s="251">
        <v>6340</v>
      </c>
      <c r="I26" s="255">
        <v>4740</v>
      </c>
      <c r="J26" s="147">
        <f t="shared" si="0"/>
        <v>3.3000000000000002E-2</v>
      </c>
    </row>
    <row r="27" spans="2:12" ht="56.25" customHeight="1" x14ac:dyDescent="0.25">
      <c r="B27" s="157" t="s">
        <v>157</v>
      </c>
      <c r="C27" s="258"/>
      <c r="D27" s="258"/>
      <c r="E27" s="259"/>
      <c r="F27" s="259"/>
      <c r="G27" s="258"/>
      <c r="H27" s="258"/>
      <c r="I27" s="257"/>
      <c r="J27" s="147">
        <f t="shared" si="0"/>
        <v>0</v>
      </c>
    </row>
    <row r="28" spans="2:12" ht="23.25" customHeight="1" thickBot="1" x14ac:dyDescent="0.3">
      <c r="B28" s="156" t="s">
        <v>156</v>
      </c>
      <c r="C28" s="252"/>
      <c r="D28" s="252"/>
      <c r="E28" s="254"/>
      <c r="F28" s="254"/>
      <c r="G28" s="252"/>
      <c r="H28" s="252"/>
      <c r="I28" s="256"/>
      <c r="J28" s="147">
        <f t="shared" si="0"/>
        <v>0</v>
      </c>
    </row>
    <row r="29" spans="2:12" ht="33.75" customHeight="1" x14ac:dyDescent="0.25">
      <c r="B29" s="155" t="s">
        <v>158</v>
      </c>
      <c r="C29" s="251">
        <v>14.5</v>
      </c>
      <c r="D29" s="251">
        <v>38</v>
      </c>
      <c r="E29" s="253" t="s">
        <v>160</v>
      </c>
      <c r="F29" s="253" t="s">
        <v>161</v>
      </c>
      <c r="G29" s="251" t="s">
        <v>162</v>
      </c>
      <c r="H29" s="251" t="s">
        <v>163</v>
      </c>
      <c r="I29" s="255" t="s">
        <v>164</v>
      </c>
      <c r="J29" s="147"/>
    </row>
    <row r="30" spans="2:12" ht="23.25" customHeight="1" thickBot="1" x14ac:dyDescent="0.3">
      <c r="B30" s="158" t="s">
        <v>159</v>
      </c>
      <c r="C30" s="263"/>
      <c r="D30" s="263"/>
      <c r="E30" s="264"/>
      <c r="F30" s="264"/>
      <c r="G30" s="263"/>
      <c r="H30" s="263"/>
      <c r="I30" s="260"/>
      <c r="J30" s="147"/>
    </row>
    <row r="31" spans="2:12" ht="15.75" thickTop="1" x14ac:dyDescent="0.25"/>
  </sheetData>
  <sheetProtection formatCells="0" selectLockedCells="1" selectUnlockedCells="1"/>
  <mergeCells count="52">
    <mergeCell ref="I29:I30"/>
    <mergeCell ref="B8:I8"/>
    <mergeCell ref="B9:I9"/>
    <mergeCell ref="C29:C30"/>
    <mergeCell ref="D29:D30"/>
    <mergeCell ref="E29:E30"/>
    <mergeCell ref="F29:F30"/>
    <mergeCell ref="G29:G30"/>
    <mergeCell ref="H29:H30"/>
    <mergeCell ref="I23:I25"/>
    <mergeCell ref="C26:C28"/>
    <mergeCell ref="D26:D28"/>
    <mergeCell ref="E26:E28"/>
    <mergeCell ref="F26:F28"/>
    <mergeCell ref="G26:G28"/>
    <mergeCell ref="H26:H28"/>
    <mergeCell ref="I26:I28"/>
    <mergeCell ref="C23:C25"/>
    <mergeCell ref="D23:D25"/>
    <mergeCell ref="E23:E25"/>
    <mergeCell ref="F23:F25"/>
    <mergeCell ref="G23:G25"/>
    <mergeCell ref="H23:H25"/>
    <mergeCell ref="H17:H18"/>
    <mergeCell ref="I17:I18"/>
    <mergeCell ref="I19:I20"/>
    <mergeCell ref="C21:C22"/>
    <mergeCell ref="D21:D22"/>
    <mergeCell ref="E21:E22"/>
    <mergeCell ref="F21:F22"/>
    <mergeCell ref="G21:G22"/>
    <mergeCell ref="H21:H22"/>
    <mergeCell ref="I21:I22"/>
    <mergeCell ref="C19:C20"/>
    <mergeCell ref="D19:D20"/>
    <mergeCell ref="E19:E20"/>
    <mergeCell ref="F19:F20"/>
    <mergeCell ref="G19:G20"/>
    <mergeCell ref="H19:H20"/>
    <mergeCell ref="C17:C18"/>
    <mergeCell ref="D17:D18"/>
    <mergeCell ref="E17:E18"/>
    <mergeCell ref="F17:F18"/>
    <mergeCell ref="G17:G18"/>
    <mergeCell ref="B7:J7"/>
    <mergeCell ref="B10:B12"/>
    <mergeCell ref="C10:C12"/>
    <mergeCell ref="D10:D12"/>
    <mergeCell ref="E10:F10"/>
    <mergeCell ref="E11:F11"/>
    <mergeCell ref="G10:I10"/>
    <mergeCell ref="G11:I11"/>
  </mergeCells>
  <hyperlinks>
    <hyperlink ref="B7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5" tint="0.39997558519241921"/>
  </sheetPr>
  <dimension ref="A1:Q66"/>
  <sheetViews>
    <sheetView zoomScale="80" zoomScaleNormal="80" workbookViewId="0">
      <selection activeCell="D27" sqref="D27"/>
    </sheetView>
  </sheetViews>
  <sheetFormatPr defaultRowHeight="15" x14ac:dyDescent="0.25"/>
  <cols>
    <col min="2" max="2" width="15.42578125" customWidth="1"/>
    <col min="3" max="3" width="22.140625" customWidth="1"/>
    <col min="4" max="4" width="14.42578125" customWidth="1"/>
    <col min="6" max="6" width="9.5703125" customWidth="1"/>
    <col min="7" max="7" width="13.140625" style="66" customWidth="1"/>
    <col min="9" max="9" width="15.28515625" style="13" customWidth="1"/>
    <col min="11" max="11" width="9.85546875" customWidth="1"/>
    <col min="12" max="12" width="11.5703125" customWidth="1"/>
    <col min="13" max="13" width="19.5703125" customWidth="1"/>
    <col min="16" max="16" width="10" bestFit="1" customWidth="1"/>
  </cols>
  <sheetData>
    <row r="1" spans="2:17" ht="15.75" thickBot="1" x14ac:dyDescent="0.3">
      <c r="I1" s="107" t="s">
        <v>119</v>
      </c>
      <c r="J1" s="108"/>
      <c r="K1" s="108"/>
      <c r="L1" s="108" t="s">
        <v>114</v>
      </c>
      <c r="M1" s="109">
        <f>+M65</f>
        <v>37326.885165725595</v>
      </c>
    </row>
    <row r="2" spans="2:17" ht="23.25" customHeight="1" x14ac:dyDescent="0.25">
      <c r="B2" s="73" t="s">
        <v>264</v>
      </c>
      <c r="D2" s="1" t="s">
        <v>117</v>
      </c>
      <c r="E2" s="104"/>
      <c r="F2" s="104"/>
      <c r="M2" s="92"/>
    </row>
    <row r="4" spans="2:17" x14ac:dyDescent="0.25">
      <c r="D4" s="113" t="s">
        <v>11</v>
      </c>
      <c r="F4" s="73" t="s">
        <v>97</v>
      </c>
      <c r="G4" s="98" t="s">
        <v>44</v>
      </c>
      <c r="H4" s="73"/>
      <c r="I4" s="99" t="s">
        <v>105</v>
      </c>
      <c r="J4" s="73"/>
      <c r="K4" s="73"/>
      <c r="L4" s="73"/>
      <c r="M4" s="73"/>
      <c r="P4" t="s">
        <v>110</v>
      </c>
    </row>
    <row r="5" spans="2:17" x14ac:dyDescent="0.25">
      <c r="B5" t="s">
        <v>75</v>
      </c>
      <c r="C5" t="s">
        <v>116</v>
      </c>
      <c r="D5" s="74">
        <f>+'Calc sheet'!K3</f>
        <v>65000</v>
      </c>
      <c r="F5" s="73" t="s">
        <v>99</v>
      </c>
      <c r="G5" s="98" t="s">
        <v>98</v>
      </c>
      <c r="H5" s="73"/>
      <c r="I5" s="99" t="s">
        <v>106</v>
      </c>
      <c r="J5" s="73"/>
      <c r="K5" s="73" t="s">
        <v>98</v>
      </c>
      <c r="L5" s="100" t="s">
        <v>113</v>
      </c>
      <c r="M5" s="73" t="s">
        <v>105</v>
      </c>
      <c r="O5" s="73" t="s">
        <v>99</v>
      </c>
      <c r="P5" s="93"/>
      <c r="Q5" s="93"/>
    </row>
    <row r="6" spans="2:17" x14ac:dyDescent="0.25">
      <c r="B6" t="s">
        <v>104</v>
      </c>
      <c r="D6" s="74">
        <f>+B32</f>
        <v>86595.991514486537</v>
      </c>
      <c r="F6">
        <v>1</v>
      </c>
      <c r="G6" s="66">
        <f>+K6</f>
        <v>721.63326262072133</v>
      </c>
      <c r="I6" s="13">
        <f>+D5</f>
        <v>65000</v>
      </c>
      <c r="K6" s="94">
        <f>+D11</f>
        <v>721.63326262072133</v>
      </c>
      <c r="L6" s="13">
        <f t="shared" ref="L6:L37" si="0">+$D$15*I6</f>
        <v>325</v>
      </c>
      <c r="M6" s="13">
        <f>+I6-K6+L6</f>
        <v>64603.366737379278</v>
      </c>
      <c r="O6">
        <v>1</v>
      </c>
      <c r="P6" s="93">
        <f>1+D15</f>
        <v>1.0049999999999999</v>
      </c>
      <c r="Q6" s="93">
        <f>+P6</f>
        <v>1.0049999999999999</v>
      </c>
    </row>
    <row r="7" spans="2:17" x14ac:dyDescent="0.25">
      <c r="C7" t="s">
        <v>102</v>
      </c>
      <c r="D7" s="112">
        <f>+D6-D5</f>
        <v>21595.991514486537</v>
      </c>
      <c r="F7">
        <v>2</v>
      </c>
      <c r="G7" s="66">
        <f t="shared" ref="G7:G38" si="1">+G6+K7</f>
        <v>1443.2665252414427</v>
      </c>
      <c r="I7" s="13">
        <f>+M6</f>
        <v>64603.366737379278</v>
      </c>
      <c r="K7" s="94">
        <f>+K6</f>
        <v>721.63326262072133</v>
      </c>
      <c r="L7" s="13">
        <f t="shared" si="0"/>
        <v>323.0168336868964</v>
      </c>
      <c r="M7" s="13">
        <f t="shared" ref="M7:M12" si="2">+I7-K7+L7</f>
        <v>64204.750308445451</v>
      </c>
      <c r="O7">
        <v>2</v>
      </c>
      <c r="P7" s="93">
        <f>+P6</f>
        <v>1.0049999999999999</v>
      </c>
      <c r="Q7" s="93">
        <f>+Q6*P7</f>
        <v>1.0100249999999997</v>
      </c>
    </row>
    <row r="8" spans="2:17" x14ac:dyDescent="0.25">
      <c r="B8" t="s">
        <v>100</v>
      </c>
      <c r="D8" s="210">
        <f>+'Calc sheet'!O21</f>
        <v>10</v>
      </c>
      <c r="F8">
        <v>3</v>
      </c>
      <c r="G8" s="66">
        <f t="shared" si="1"/>
        <v>2164.899787862164</v>
      </c>
      <c r="I8" s="13">
        <f t="shared" ref="I8:I65" si="3">+M7</f>
        <v>64204.750308445451</v>
      </c>
      <c r="K8" s="94">
        <f t="shared" ref="K8:K65" si="4">+K7</f>
        <v>721.63326262072133</v>
      </c>
      <c r="L8" s="13">
        <f t="shared" si="0"/>
        <v>321.02375154222727</v>
      </c>
      <c r="M8" s="13">
        <f t="shared" si="2"/>
        <v>63804.140797366956</v>
      </c>
      <c r="O8">
        <v>3</v>
      </c>
      <c r="P8" s="93">
        <f t="shared" ref="P8:P17" si="5">+P7</f>
        <v>1.0049999999999999</v>
      </c>
      <c r="Q8" s="93">
        <f t="shared" ref="Q8:Q17" si="6">+Q7*P8</f>
        <v>1.0150751249999996</v>
      </c>
    </row>
    <row r="9" spans="2:17" x14ac:dyDescent="0.25">
      <c r="B9" t="s">
        <v>101</v>
      </c>
      <c r="C9" t="s">
        <v>121</v>
      </c>
      <c r="D9" s="111">
        <f>+D8*12</f>
        <v>120</v>
      </c>
      <c r="F9">
        <v>4</v>
      </c>
      <c r="G9" s="66">
        <f t="shared" si="1"/>
        <v>2886.5330504828853</v>
      </c>
      <c r="I9" s="13">
        <f t="shared" si="3"/>
        <v>63804.140797366956</v>
      </c>
      <c r="K9" s="94">
        <f t="shared" si="4"/>
        <v>721.63326262072133</v>
      </c>
      <c r="L9" s="13">
        <f t="shared" si="0"/>
        <v>319.0207039868348</v>
      </c>
      <c r="M9" s="13">
        <f t="shared" si="2"/>
        <v>63401.528238733066</v>
      </c>
      <c r="O9">
        <v>4</v>
      </c>
      <c r="P9" s="93">
        <f t="shared" si="5"/>
        <v>1.0049999999999999</v>
      </c>
      <c r="Q9" s="93">
        <f t="shared" si="6"/>
        <v>1.0201505006249996</v>
      </c>
    </row>
    <row r="10" spans="2:17" x14ac:dyDescent="0.25">
      <c r="D10" s="66"/>
      <c r="F10">
        <v>5</v>
      </c>
      <c r="G10" s="66">
        <f t="shared" si="1"/>
        <v>3608.1663131036066</v>
      </c>
      <c r="I10" s="13">
        <f t="shared" si="3"/>
        <v>63401.528238733066</v>
      </c>
      <c r="K10" s="94">
        <f t="shared" si="4"/>
        <v>721.63326262072133</v>
      </c>
      <c r="L10" s="13">
        <f t="shared" si="0"/>
        <v>317.00764119366534</v>
      </c>
      <c r="M10" s="13">
        <f t="shared" si="2"/>
        <v>62996.902617306012</v>
      </c>
      <c r="O10">
        <v>5</v>
      </c>
      <c r="P10" s="93">
        <f t="shared" si="5"/>
        <v>1.0049999999999999</v>
      </c>
      <c r="Q10" s="93">
        <f t="shared" si="6"/>
        <v>1.0252512531281244</v>
      </c>
    </row>
    <row r="11" spans="2:17" x14ac:dyDescent="0.25">
      <c r="B11" s="73" t="s">
        <v>110</v>
      </c>
      <c r="C11" t="s">
        <v>111</v>
      </c>
      <c r="D11" s="97">
        <f>-PMT(D15,D9,D5)</f>
        <v>721.63326262072133</v>
      </c>
      <c r="F11">
        <v>6</v>
      </c>
      <c r="G11" s="66">
        <f t="shared" si="1"/>
        <v>4329.799575724328</v>
      </c>
      <c r="I11" s="13">
        <f t="shared" si="3"/>
        <v>62996.902617306012</v>
      </c>
      <c r="K11" s="94">
        <f t="shared" si="4"/>
        <v>721.63326262072133</v>
      </c>
      <c r="L11" s="13">
        <f t="shared" si="0"/>
        <v>314.98451308653006</v>
      </c>
      <c r="M11" s="13">
        <f t="shared" si="2"/>
        <v>62590.253867771818</v>
      </c>
      <c r="O11">
        <v>6</v>
      </c>
      <c r="P11" s="93">
        <f t="shared" si="5"/>
        <v>1.0049999999999999</v>
      </c>
      <c r="Q11" s="93">
        <f t="shared" si="6"/>
        <v>1.0303775093937648</v>
      </c>
    </row>
    <row r="12" spans="2:17" x14ac:dyDescent="0.25">
      <c r="C12" t="s">
        <v>18</v>
      </c>
      <c r="D12" s="97">
        <f>+D11*12</f>
        <v>8659.5991514486559</v>
      </c>
      <c r="F12">
        <v>7</v>
      </c>
      <c r="G12" s="66">
        <f t="shared" si="1"/>
        <v>5051.4328383450493</v>
      </c>
      <c r="I12" s="13">
        <f t="shared" si="3"/>
        <v>62590.253867771818</v>
      </c>
      <c r="K12" s="94">
        <f t="shared" si="4"/>
        <v>721.63326262072133</v>
      </c>
      <c r="L12" s="13">
        <f t="shared" si="0"/>
        <v>312.95126933885911</v>
      </c>
      <c r="M12" s="13">
        <f t="shared" si="2"/>
        <v>62181.571874489957</v>
      </c>
      <c r="O12">
        <v>7</v>
      </c>
      <c r="P12" s="93">
        <f t="shared" si="5"/>
        <v>1.0049999999999999</v>
      </c>
      <c r="Q12" s="93">
        <f t="shared" si="6"/>
        <v>1.0355293969407335</v>
      </c>
    </row>
    <row r="13" spans="2:17" x14ac:dyDescent="0.25">
      <c r="C13" t="s">
        <v>112</v>
      </c>
      <c r="D13" s="97">
        <f>+D11*D9</f>
        <v>86595.991514486552</v>
      </c>
      <c r="F13">
        <v>8</v>
      </c>
      <c r="G13" s="66">
        <f t="shared" si="1"/>
        <v>5773.0661009657706</v>
      </c>
      <c r="I13" s="13">
        <f t="shared" si="3"/>
        <v>62181.571874489957</v>
      </c>
      <c r="K13" s="94">
        <f t="shared" si="4"/>
        <v>721.63326262072133</v>
      </c>
      <c r="L13" s="13">
        <f t="shared" si="0"/>
        <v>310.90785937244976</v>
      </c>
      <c r="M13" s="13">
        <f t="shared" ref="M13:M65" si="7">+I13-K13+L13</f>
        <v>61770.846471241683</v>
      </c>
      <c r="O13">
        <v>8</v>
      </c>
      <c r="P13" s="93">
        <f t="shared" si="5"/>
        <v>1.0049999999999999</v>
      </c>
      <c r="Q13" s="93">
        <f t="shared" si="6"/>
        <v>1.0407070439254371</v>
      </c>
    </row>
    <row r="14" spans="2:17" x14ac:dyDescent="0.25">
      <c r="D14" s="66"/>
      <c r="F14">
        <v>9</v>
      </c>
      <c r="G14" s="66">
        <f t="shared" si="1"/>
        <v>6494.6993635864919</v>
      </c>
      <c r="I14" s="13">
        <f t="shared" si="3"/>
        <v>61770.846471241683</v>
      </c>
      <c r="K14" s="94">
        <f t="shared" si="4"/>
        <v>721.63326262072133</v>
      </c>
      <c r="L14" s="13">
        <f t="shared" si="0"/>
        <v>308.8542323562084</v>
      </c>
      <c r="M14" s="13">
        <f t="shared" si="7"/>
        <v>61358.067440977167</v>
      </c>
      <c r="O14">
        <v>9</v>
      </c>
      <c r="P14" s="93">
        <f t="shared" si="5"/>
        <v>1.0049999999999999</v>
      </c>
      <c r="Q14" s="93">
        <f t="shared" si="6"/>
        <v>1.0459105791450642</v>
      </c>
    </row>
    <row r="15" spans="2:17" ht="15.75" thickBot="1" x14ac:dyDescent="0.3">
      <c r="C15" s="5" t="s">
        <v>108</v>
      </c>
      <c r="D15" s="95">
        <f>+D16/12</f>
        <v>5.0000000000000001E-3</v>
      </c>
      <c r="F15">
        <v>10</v>
      </c>
      <c r="G15" s="66">
        <f t="shared" si="1"/>
        <v>7216.3326262072133</v>
      </c>
      <c r="I15" s="13">
        <f t="shared" si="3"/>
        <v>61358.067440977167</v>
      </c>
      <c r="K15" s="94">
        <f t="shared" si="4"/>
        <v>721.63326262072133</v>
      </c>
      <c r="L15" s="13">
        <f t="shared" si="0"/>
        <v>306.79033720488582</v>
      </c>
      <c r="M15" s="13">
        <f t="shared" si="7"/>
        <v>60943.224515561327</v>
      </c>
      <c r="O15">
        <v>10</v>
      </c>
      <c r="P15" s="93">
        <f t="shared" si="5"/>
        <v>1.0049999999999999</v>
      </c>
      <c r="Q15" s="93">
        <f t="shared" si="6"/>
        <v>1.0511401320407894</v>
      </c>
    </row>
    <row r="16" spans="2:17" x14ac:dyDescent="0.25">
      <c r="C16" s="96" t="s">
        <v>18</v>
      </c>
      <c r="D16" s="110">
        <f>+'Calc sheet'!O22</f>
        <v>0.06</v>
      </c>
      <c r="F16">
        <v>11</v>
      </c>
      <c r="G16" s="66">
        <f t="shared" si="1"/>
        <v>7937.9658888279346</v>
      </c>
      <c r="I16" s="13">
        <f t="shared" si="3"/>
        <v>60943.224515561327</v>
      </c>
      <c r="K16" s="94">
        <f t="shared" si="4"/>
        <v>721.63326262072133</v>
      </c>
      <c r="L16" s="13">
        <f t="shared" si="0"/>
        <v>304.71612257780663</v>
      </c>
      <c r="M16" s="13">
        <f t="shared" si="7"/>
        <v>60526.307375518409</v>
      </c>
      <c r="O16">
        <v>11</v>
      </c>
      <c r="P16" s="93">
        <f t="shared" si="5"/>
        <v>1.0049999999999999</v>
      </c>
      <c r="Q16" s="93">
        <f t="shared" si="6"/>
        <v>1.0563958327009932</v>
      </c>
    </row>
    <row r="17" spans="1:17" ht="15.75" thickBot="1" x14ac:dyDescent="0.3">
      <c r="C17" s="5" t="s">
        <v>109</v>
      </c>
      <c r="D17" s="95">
        <f>+Q17-1</f>
        <v>6.1677811864498056E-2</v>
      </c>
      <c r="F17">
        <v>12</v>
      </c>
      <c r="G17" s="66">
        <f t="shared" si="1"/>
        <v>8659.5991514486559</v>
      </c>
      <c r="I17" s="13">
        <f t="shared" si="3"/>
        <v>60526.307375518409</v>
      </c>
      <c r="K17" s="94">
        <f t="shared" si="4"/>
        <v>721.63326262072133</v>
      </c>
      <c r="L17" s="13">
        <f t="shared" si="0"/>
        <v>302.63153687759205</v>
      </c>
      <c r="M17" s="13">
        <f t="shared" si="7"/>
        <v>60107.305649775277</v>
      </c>
      <c r="O17">
        <v>12</v>
      </c>
      <c r="P17" s="93">
        <f t="shared" si="5"/>
        <v>1.0049999999999999</v>
      </c>
      <c r="Q17" s="101">
        <f t="shared" si="6"/>
        <v>1.0616778118644981</v>
      </c>
    </row>
    <row r="18" spans="1:17" x14ac:dyDescent="0.25">
      <c r="D18" s="66"/>
      <c r="F18">
        <v>13</v>
      </c>
      <c r="G18" s="66">
        <f t="shared" si="1"/>
        <v>9381.2324140693781</v>
      </c>
      <c r="I18" s="13">
        <f t="shared" si="3"/>
        <v>60107.305649775277</v>
      </c>
      <c r="K18" s="94">
        <f t="shared" si="4"/>
        <v>721.63326262072133</v>
      </c>
      <c r="L18" s="13">
        <f t="shared" si="0"/>
        <v>300.53652824887638</v>
      </c>
      <c r="M18" s="13">
        <f t="shared" si="7"/>
        <v>59686.208915403433</v>
      </c>
      <c r="P18" s="93"/>
      <c r="Q18" s="93"/>
    </row>
    <row r="19" spans="1:17" x14ac:dyDescent="0.25">
      <c r="F19">
        <v>14</v>
      </c>
      <c r="G19" s="66">
        <f t="shared" si="1"/>
        <v>10102.8656766901</v>
      </c>
      <c r="I19" s="13">
        <f t="shared" si="3"/>
        <v>59686.208915403433</v>
      </c>
      <c r="K19" s="94">
        <f t="shared" si="4"/>
        <v>721.63326262072133</v>
      </c>
      <c r="L19" s="13">
        <f t="shared" si="0"/>
        <v>298.43104457701719</v>
      </c>
      <c r="M19" s="13">
        <f t="shared" si="7"/>
        <v>59263.006697359728</v>
      </c>
      <c r="P19" s="102" t="s">
        <v>107</v>
      </c>
      <c r="Q19" s="102">
        <f>(+P6-1)*12</f>
        <v>5.9999999999998721E-2</v>
      </c>
    </row>
    <row r="20" spans="1:17" x14ac:dyDescent="0.25">
      <c r="A20" t="s">
        <v>2</v>
      </c>
      <c r="B20" t="s">
        <v>239</v>
      </c>
      <c r="D20" s="66"/>
      <c r="F20">
        <v>15</v>
      </c>
      <c r="G20" s="66">
        <f t="shared" si="1"/>
        <v>10824.498939310823</v>
      </c>
      <c r="I20" s="13">
        <f t="shared" si="3"/>
        <v>59263.006697359728</v>
      </c>
      <c r="K20" s="94">
        <f t="shared" si="4"/>
        <v>721.63326262072133</v>
      </c>
      <c r="L20" s="13">
        <f t="shared" si="0"/>
        <v>296.31503348679865</v>
      </c>
      <c r="M20" s="13">
        <f t="shared" si="7"/>
        <v>58837.688468225802</v>
      </c>
    </row>
    <row r="21" spans="1:17" x14ac:dyDescent="0.25">
      <c r="A21">
        <v>1</v>
      </c>
      <c r="B21" s="66">
        <f>IF($D$8&gt;=1,$D$12,0)</f>
        <v>8659.5991514486559</v>
      </c>
      <c r="D21" s="66"/>
      <c r="F21">
        <v>16</v>
      </c>
      <c r="G21" s="66">
        <f t="shared" si="1"/>
        <v>11546.132201931545</v>
      </c>
      <c r="I21" s="13">
        <f t="shared" si="3"/>
        <v>58837.688468225802</v>
      </c>
      <c r="K21" s="94">
        <f t="shared" si="4"/>
        <v>721.63326262072133</v>
      </c>
      <c r="L21" s="13">
        <f t="shared" si="0"/>
        <v>294.18844234112902</v>
      </c>
      <c r="M21" s="13">
        <f t="shared" si="7"/>
        <v>58410.243647946212</v>
      </c>
    </row>
    <row r="22" spans="1:17" x14ac:dyDescent="0.25">
      <c r="A22">
        <v>2</v>
      </c>
      <c r="B22" s="66">
        <f>IF($D$8&gt;=2,$D$12,0)</f>
        <v>8659.5991514486559</v>
      </c>
      <c r="F22">
        <v>17</v>
      </c>
      <c r="G22" s="66">
        <f t="shared" si="1"/>
        <v>12267.765464552267</v>
      </c>
      <c r="I22" s="13">
        <f t="shared" si="3"/>
        <v>58410.243647946212</v>
      </c>
      <c r="K22" s="94">
        <f t="shared" si="4"/>
        <v>721.63326262072133</v>
      </c>
      <c r="L22" s="13">
        <f t="shared" si="0"/>
        <v>292.05121823973104</v>
      </c>
      <c r="M22" s="13">
        <f t="shared" si="7"/>
        <v>57980.661603565219</v>
      </c>
      <c r="P22" s="223">
        <f>+'Calc sheet'!O22</f>
        <v>0.06</v>
      </c>
      <c r="Q22" t="s">
        <v>241</v>
      </c>
    </row>
    <row r="23" spans="1:17" x14ac:dyDescent="0.25">
      <c r="A23">
        <v>3</v>
      </c>
      <c r="B23" s="66">
        <f>IF($D$8&gt;=3,$D$12,0)</f>
        <v>8659.5991514486559</v>
      </c>
      <c r="F23">
        <v>18</v>
      </c>
      <c r="G23" s="66">
        <f t="shared" si="1"/>
        <v>12989.398727172989</v>
      </c>
      <c r="I23" s="13">
        <f t="shared" si="3"/>
        <v>57980.661603565219</v>
      </c>
      <c r="K23" s="94">
        <f t="shared" si="4"/>
        <v>721.63326262072133</v>
      </c>
      <c r="L23" s="13">
        <f t="shared" si="0"/>
        <v>289.90330801782608</v>
      </c>
      <c r="M23" s="13">
        <f t="shared" si="7"/>
        <v>57548.931648962323</v>
      </c>
      <c r="P23">
        <f>7.8/12</f>
        <v>0.65</v>
      </c>
      <c r="Q23" t="s">
        <v>240</v>
      </c>
    </row>
    <row r="24" spans="1:17" x14ac:dyDescent="0.25">
      <c r="A24">
        <v>4</v>
      </c>
      <c r="B24" s="66">
        <f>IF($D$8&gt;=4,$D$12,0)</f>
        <v>8659.5991514486559</v>
      </c>
      <c r="F24">
        <v>19</v>
      </c>
      <c r="G24" s="66">
        <f t="shared" si="1"/>
        <v>13711.031989793712</v>
      </c>
      <c r="I24" s="13">
        <f t="shared" si="3"/>
        <v>57548.931648962323</v>
      </c>
      <c r="K24" s="94">
        <f t="shared" si="4"/>
        <v>721.63326262072133</v>
      </c>
      <c r="L24" s="13">
        <f t="shared" si="0"/>
        <v>287.7446582448116</v>
      </c>
      <c r="M24" s="13">
        <f t="shared" si="7"/>
        <v>57115.043044586411</v>
      </c>
    </row>
    <row r="25" spans="1:17" x14ac:dyDescent="0.25">
      <c r="A25">
        <v>5</v>
      </c>
      <c r="B25" s="66">
        <f>IF($D$8&gt;=5,$D$12,0)</f>
        <v>8659.5991514486559</v>
      </c>
      <c r="F25">
        <v>20</v>
      </c>
      <c r="G25" s="66">
        <f t="shared" si="1"/>
        <v>14432.665252414434</v>
      </c>
      <c r="I25" s="13">
        <f t="shared" si="3"/>
        <v>57115.043044586411</v>
      </c>
      <c r="K25" s="94">
        <f t="shared" si="4"/>
        <v>721.63326262072133</v>
      </c>
      <c r="L25" s="13">
        <f t="shared" si="0"/>
        <v>285.57521522293206</v>
      </c>
      <c r="M25" s="13">
        <f t="shared" si="7"/>
        <v>56678.984997188621</v>
      </c>
    </row>
    <row r="26" spans="1:17" x14ac:dyDescent="0.25">
      <c r="A26">
        <v>6</v>
      </c>
      <c r="B26" s="66">
        <f>IF($D$8&gt;=6,$D$12,0)</f>
        <v>8659.5991514486559</v>
      </c>
      <c r="D26" s="66"/>
      <c r="F26">
        <v>21</v>
      </c>
      <c r="G26" s="66">
        <f t="shared" si="1"/>
        <v>15154.298515035156</v>
      </c>
      <c r="I26" s="13">
        <f t="shared" si="3"/>
        <v>56678.984997188621</v>
      </c>
      <c r="K26" s="94">
        <f t="shared" si="4"/>
        <v>721.63326262072133</v>
      </c>
      <c r="L26" s="13">
        <f t="shared" si="0"/>
        <v>283.39492498594313</v>
      </c>
      <c r="M26" s="13">
        <f t="shared" si="7"/>
        <v>56240.746659553843</v>
      </c>
    </row>
    <row r="27" spans="1:17" x14ac:dyDescent="0.25">
      <c r="A27">
        <v>7</v>
      </c>
      <c r="B27" s="66">
        <f>IF($D$8&gt;=7,$D$12,0)</f>
        <v>8659.5991514486559</v>
      </c>
      <c r="F27">
        <v>22</v>
      </c>
      <c r="G27" s="66">
        <f t="shared" si="1"/>
        <v>15875.931777655878</v>
      </c>
      <c r="I27" s="13">
        <f t="shared" si="3"/>
        <v>56240.746659553843</v>
      </c>
      <c r="K27" s="94">
        <f t="shared" si="4"/>
        <v>721.63326262072133</v>
      </c>
      <c r="L27" s="13">
        <f t="shared" si="0"/>
        <v>281.20373329776925</v>
      </c>
      <c r="M27" s="13">
        <f t="shared" si="7"/>
        <v>55800.317130230891</v>
      </c>
    </row>
    <row r="28" spans="1:17" x14ac:dyDescent="0.25">
      <c r="A28">
        <v>8</v>
      </c>
      <c r="B28" s="66">
        <f>IF($D$8&gt;=8,$D$12,0)</f>
        <v>8659.5991514486559</v>
      </c>
      <c r="F28">
        <v>23</v>
      </c>
      <c r="G28" s="66">
        <f t="shared" si="1"/>
        <v>16597.5650402766</v>
      </c>
      <c r="I28" s="13">
        <f t="shared" si="3"/>
        <v>55800.317130230891</v>
      </c>
      <c r="K28" s="94">
        <f t="shared" si="4"/>
        <v>721.63326262072133</v>
      </c>
      <c r="L28" s="13">
        <f t="shared" si="0"/>
        <v>279.00158565115447</v>
      </c>
      <c r="M28" s="13">
        <f t="shared" si="7"/>
        <v>55357.685453261322</v>
      </c>
    </row>
    <row r="29" spans="1:17" x14ac:dyDescent="0.25">
      <c r="A29">
        <v>9</v>
      </c>
      <c r="B29" s="66">
        <f>IF($D$8&gt;=9,$D$12,0)</f>
        <v>8659.5991514486559</v>
      </c>
      <c r="F29">
        <v>24</v>
      </c>
      <c r="G29" s="66">
        <f t="shared" si="1"/>
        <v>17319.198302897323</v>
      </c>
      <c r="I29" s="13">
        <f t="shared" si="3"/>
        <v>55357.685453261322</v>
      </c>
      <c r="K29" s="94">
        <f t="shared" si="4"/>
        <v>721.63326262072133</v>
      </c>
      <c r="L29" s="13">
        <f t="shared" si="0"/>
        <v>276.7884272663066</v>
      </c>
      <c r="M29" s="13">
        <f t="shared" si="7"/>
        <v>54912.840617906906</v>
      </c>
    </row>
    <row r="30" spans="1:17" x14ac:dyDescent="0.25">
      <c r="A30">
        <v>10</v>
      </c>
      <c r="B30" s="66">
        <f>IF($D$8&gt;=10,$D$12,0)</f>
        <v>8659.5991514486559</v>
      </c>
      <c r="F30">
        <v>25</v>
      </c>
      <c r="G30" s="66">
        <f t="shared" si="1"/>
        <v>18040.831565518045</v>
      </c>
      <c r="I30" s="13">
        <f t="shared" si="3"/>
        <v>54912.840617906906</v>
      </c>
      <c r="K30" s="94">
        <f t="shared" si="4"/>
        <v>721.63326262072133</v>
      </c>
      <c r="L30" s="13">
        <f t="shared" si="0"/>
        <v>274.56420308953454</v>
      </c>
      <c r="M30" s="13">
        <f t="shared" si="7"/>
        <v>54465.771558375716</v>
      </c>
    </row>
    <row r="31" spans="1:17" x14ac:dyDescent="0.25">
      <c r="F31">
        <v>26</v>
      </c>
      <c r="G31" s="66">
        <f t="shared" si="1"/>
        <v>18762.464828138767</v>
      </c>
      <c r="I31" s="13">
        <f t="shared" si="3"/>
        <v>54465.771558375716</v>
      </c>
      <c r="K31" s="94">
        <f t="shared" si="4"/>
        <v>721.63326262072133</v>
      </c>
      <c r="L31" s="13">
        <f t="shared" si="0"/>
        <v>272.32885779187859</v>
      </c>
      <c r="M31" s="13">
        <f t="shared" si="7"/>
        <v>54016.467153546873</v>
      </c>
    </row>
    <row r="32" spans="1:17" x14ac:dyDescent="0.25">
      <c r="A32" s="73" t="s">
        <v>12</v>
      </c>
      <c r="B32" s="221">
        <f>SUM(B21:B30)</f>
        <v>86595.991514486537</v>
      </c>
      <c r="F32">
        <v>27</v>
      </c>
      <c r="G32" s="66">
        <f t="shared" si="1"/>
        <v>19484.098090759489</v>
      </c>
      <c r="I32" s="13">
        <f t="shared" si="3"/>
        <v>54016.467153546873</v>
      </c>
      <c r="K32" s="94">
        <f t="shared" si="4"/>
        <v>721.63326262072133</v>
      </c>
      <c r="L32" s="13">
        <f t="shared" si="0"/>
        <v>270.08233576773438</v>
      </c>
      <c r="M32" s="13">
        <f t="shared" si="7"/>
        <v>53564.916226693887</v>
      </c>
    </row>
    <row r="33" spans="6:13" x14ac:dyDescent="0.25">
      <c r="F33">
        <v>28</v>
      </c>
      <c r="G33" s="66">
        <f t="shared" si="1"/>
        <v>20205.731353380212</v>
      </c>
      <c r="I33" s="13">
        <f t="shared" si="3"/>
        <v>53564.916226693887</v>
      </c>
      <c r="K33" s="94">
        <f t="shared" si="4"/>
        <v>721.63326262072133</v>
      </c>
      <c r="L33" s="13">
        <f t="shared" si="0"/>
        <v>267.82458113346945</v>
      </c>
      <c r="M33" s="13">
        <f t="shared" si="7"/>
        <v>53111.107545206636</v>
      </c>
    </row>
    <row r="34" spans="6:13" x14ac:dyDescent="0.25">
      <c r="F34">
        <v>29</v>
      </c>
      <c r="G34" s="66">
        <f t="shared" si="1"/>
        <v>20927.364616000934</v>
      </c>
      <c r="I34" s="13">
        <f t="shared" si="3"/>
        <v>53111.107545206636</v>
      </c>
      <c r="K34" s="94">
        <f t="shared" si="4"/>
        <v>721.63326262072133</v>
      </c>
      <c r="L34" s="13">
        <f t="shared" si="0"/>
        <v>265.55553772603321</v>
      </c>
      <c r="M34" s="13">
        <f t="shared" si="7"/>
        <v>52655.029820311946</v>
      </c>
    </row>
    <row r="35" spans="6:13" x14ac:dyDescent="0.25">
      <c r="F35">
        <v>30</v>
      </c>
      <c r="G35" s="66">
        <f t="shared" si="1"/>
        <v>21648.997878621656</v>
      </c>
      <c r="I35" s="13">
        <f t="shared" si="3"/>
        <v>52655.029820311946</v>
      </c>
      <c r="K35" s="94">
        <f t="shared" si="4"/>
        <v>721.63326262072133</v>
      </c>
      <c r="L35" s="13">
        <f t="shared" si="0"/>
        <v>263.27514910155975</v>
      </c>
      <c r="M35" s="13">
        <f t="shared" si="7"/>
        <v>52196.671706792782</v>
      </c>
    </row>
    <row r="36" spans="6:13" x14ac:dyDescent="0.25">
      <c r="F36">
        <v>31</v>
      </c>
      <c r="G36" s="66">
        <f t="shared" si="1"/>
        <v>22370.631141242378</v>
      </c>
      <c r="I36" s="13">
        <f t="shared" si="3"/>
        <v>52196.671706792782</v>
      </c>
      <c r="K36" s="94">
        <f t="shared" si="4"/>
        <v>721.63326262072133</v>
      </c>
      <c r="L36" s="13">
        <f t="shared" si="0"/>
        <v>260.98335853396389</v>
      </c>
      <c r="M36" s="13">
        <f t="shared" si="7"/>
        <v>51736.021802706025</v>
      </c>
    </row>
    <row r="37" spans="6:13" x14ac:dyDescent="0.25">
      <c r="F37">
        <v>32</v>
      </c>
      <c r="G37" s="66">
        <f t="shared" si="1"/>
        <v>23092.264403863101</v>
      </c>
      <c r="I37" s="13">
        <f t="shared" si="3"/>
        <v>51736.021802706025</v>
      </c>
      <c r="K37" s="94">
        <f t="shared" si="4"/>
        <v>721.63326262072133</v>
      </c>
      <c r="L37" s="13">
        <f t="shared" si="0"/>
        <v>258.68010901353011</v>
      </c>
      <c r="M37" s="13">
        <f t="shared" si="7"/>
        <v>51273.06864909883</v>
      </c>
    </row>
    <row r="38" spans="6:13" x14ac:dyDescent="0.25">
      <c r="F38">
        <v>33</v>
      </c>
      <c r="G38" s="66">
        <f t="shared" si="1"/>
        <v>23813.897666483823</v>
      </c>
      <c r="I38" s="13">
        <f t="shared" si="3"/>
        <v>51273.06864909883</v>
      </c>
      <c r="K38" s="94">
        <f t="shared" si="4"/>
        <v>721.63326262072133</v>
      </c>
      <c r="L38" s="13">
        <f t="shared" ref="L38:L65" si="8">+$D$15*I38</f>
        <v>256.36534324549416</v>
      </c>
      <c r="M38" s="13">
        <f t="shared" si="7"/>
        <v>50807.800729723604</v>
      </c>
    </row>
    <row r="39" spans="6:13" x14ac:dyDescent="0.25">
      <c r="F39">
        <v>34</v>
      </c>
      <c r="G39" s="66">
        <f t="shared" ref="G39:G65" si="9">+G38+K39</f>
        <v>24535.530929104545</v>
      </c>
      <c r="I39" s="13">
        <f t="shared" si="3"/>
        <v>50807.800729723604</v>
      </c>
      <c r="K39" s="94">
        <f t="shared" si="4"/>
        <v>721.63326262072133</v>
      </c>
      <c r="L39" s="13">
        <f t="shared" si="8"/>
        <v>254.03900364861803</v>
      </c>
      <c r="M39" s="13">
        <f t="shared" si="7"/>
        <v>50340.206470751502</v>
      </c>
    </row>
    <row r="40" spans="6:13" x14ac:dyDescent="0.25">
      <c r="F40">
        <v>35</v>
      </c>
      <c r="G40" s="66">
        <f t="shared" si="9"/>
        <v>25257.164191725267</v>
      </c>
      <c r="I40" s="13">
        <f t="shared" si="3"/>
        <v>50340.206470751502</v>
      </c>
      <c r="K40" s="94">
        <f t="shared" si="4"/>
        <v>721.63326262072133</v>
      </c>
      <c r="L40" s="13">
        <f t="shared" si="8"/>
        <v>251.70103235375751</v>
      </c>
      <c r="M40" s="13">
        <f t="shared" si="7"/>
        <v>49870.274240484534</v>
      </c>
    </row>
    <row r="41" spans="6:13" x14ac:dyDescent="0.25">
      <c r="F41">
        <v>36</v>
      </c>
      <c r="G41" s="66">
        <f t="shared" si="9"/>
        <v>25978.79745434599</v>
      </c>
      <c r="I41" s="13">
        <f t="shared" si="3"/>
        <v>49870.274240484534</v>
      </c>
      <c r="K41" s="94">
        <f t="shared" si="4"/>
        <v>721.63326262072133</v>
      </c>
      <c r="L41" s="13">
        <f t="shared" si="8"/>
        <v>249.35137120242268</v>
      </c>
      <c r="M41" s="13">
        <f t="shared" si="7"/>
        <v>49397.992349066233</v>
      </c>
    </row>
    <row r="42" spans="6:13" x14ac:dyDescent="0.25">
      <c r="F42">
        <v>37</v>
      </c>
      <c r="G42" s="66">
        <f t="shared" si="9"/>
        <v>26700.430716966712</v>
      </c>
      <c r="I42" s="13">
        <f t="shared" si="3"/>
        <v>49397.992349066233</v>
      </c>
      <c r="K42" s="94">
        <f t="shared" si="4"/>
        <v>721.63326262072133</v>
      </c>
      <c r="L42" s="13">
        <f t="shared" si="8"/>
        <v>246.98996174533116</v>
      </c>
      <c r="M42" s="13">
        <f t="shared" si="7"/>
        <v>48923.349048190845</v>
      </c>
    </row>
    <row r="43" spans="6:13" x14ac:dyDescent="0.25">
      <c r="F43">
        <v>38</v>
      </c>
      <c r="G43" s="66">
        <f t="shared" si="9"/>
        <v>27422.063979587434</v>
      </c>
      <c r="I43" s="13">
        <f t="shared" si="3"/>
        <v>48923.349048190845</v>
      </c>
      <c r="K43" s="94">
        <f t="shared" si="4"/>
        <v>721.63326262072133</v>
      </c>
      <c r="L43" s="13">
        <f t="shared" si="8"/>
        <v>244.61674524095423</v>
      </c>
      <c r="M43" s="13">
        <f t="shared" si="7"/>
        <v>48446.33253081108</v>
      </c>
    </row>
    <row r="44" spans="6:13" x14ac:dyDescent="0.25">
      <c r="F44">
        <v>39</v>
      </c>
      <c r="G44" s="66">
        <f t="shared" si="9"/>
        <v>28143.697242208156</v>
      </c>
      <c r="I44" s="13">
        <f t="shared" si="3"/>
        <v>48446.33253081108</v>
      </c>
      <c r="K44" s="94">
        <f t="shared" si="4"/>
        <v>721.63326262072133</v>
      </c>
      <c r="L44" s="13">
        <f t="shared" si="8"/>
        <v>242.23166265405541</v>
      </c>
      <c r="M44" s="13">
        <f t="shared" si="7"/>
        <v>47966.930930844414</v>
      </c>
    </row>
    <row r="45" spans="6:13" x14ac:dyDescent="0.25">
      <c r="F45">
        <v>40</v>
      </c>
      <c r="G45" s="66">
        <f t="shared" si="9"/>
        <v>28865.330504828878</v>
      </c>
      <c r="I45" s="13">
        <f t="shared" si="3"/>
        <v>47966.930930844414</v>
      </c>
      <c r="K45" s="94">
        <f t="shared" si="4"/>
        <v>721.63326262072133</v>
      </c>
      <c r="L45" s="13">
        <f t="shared" si="8"/>
        <v>239.83465465422208</v>
      </c>
      <c r="M45" s="13">
        <f t="shared" si="7"/>
        <v>47485.132322877915</v>
      </c>
    </row>
    <row r="46" spans="6:13" x14ac:dyDescent="0.25">
      <c r="F46">
        <v>41</v>
      </c>
      <c r="G46" s="66">
        <f t="shared" si="9"/>
        <v>29586.963767449601</v>
      </c>
      <c r="I46" s="13">
        <f t="shared" si="3"/>
        <v>47485.132322877915</v>
      </c>
      <c r="K46" s="94">
        <f t="shared" si="4"/>
        <v>721.63326262072133</v>
      </c>
      <c r="L46" s="13">
        <f t="shared" si="8"/>
        <v>237.42566161438958</v>
      </c>
      <c r="M46" s="13">
        <f t="shared" si="7"/>
        <v>47000.924721871583</v>
      </c>
    </row>
    <row r="47" spans="6:13" x14ac:dyDescent="0.25">
      <c r="F47">
        <v>42</v>
      </c>
      <c r="G47" s="66">
        <f t="shared" si="9"/>
        <v>30308.597030070323</v>
      </c>
      <c r="I47" s="13">
        <f t="shared" si="3"/>
        <v>47000.924721871583</v>
      </c>
      <c r="K47" s="94">
        <f t="shared" si="4"/>
        <v>721.63326262072133</v>
      </c>
      <c r="L47" s="13">
        <f t="shared" si="8"/>
        <v>235.00462360935791</v>
      </c>
      <c r="M47" s="13">
        <f t="shared" si="7"/>
        <v>46514.296082860215</v>
      </c>
    </row>
    <row r="48" spans="6:13" x14ac:dyDescent="0.25">
      <c r="F48">
        <v>43</v>
      </c>
      <c r="G48" s="66">
        <f t="shared" si="9"/>
        <v>31030.230292691045</v>
      </c>
      <c r="I48" s="13">
        <f t="shared" si="3"/>
        <v>46514.296082860215</v>
      </c>
      <c r="K48" s="94">
        <f t="shared" si="4"/>
        <v>721.63326262072133</v>
      </c>
      <c r="L48" s="13">
        <f t="shared" si="8"/>
        <v>232.57148041430108</v>
      </c>
      <c r="M48" s="13">
        <f t="shared" si="7"/>
        <v>46025.234300653792</v>
      </c>
    </row>
    <row r="49" spans="6:13" x14ac:dyDescent="0.25">
      <c r="F49">
        <v>44</v>
      </c>
      <c r="G49" s="66">
        <f t="shared" si="9"/>
        <v>31751.863555311767</v>
      </c>
      <c r="I49" s="13">
        <f t="shared" si="3"/>
        <v>46025.234300653792</v>
      </c>
      <c r="K49" s="94">
        <f t="shared" si="4"/>
        <v>721.63326262072133</v>
      </c>
      <c r="L49" s="13">
        <f t="shared" si="8"/>
        <v>230.12617150326898</v>
      </c>
      <c r="M49" s="13">
        <f t="shared" si="7"/>
        <v>45533.727209536337</v>
      </c>
    </row>
    <row r="50" spans="6:13" x14ac:dyDescent="0.25">
      <c r="F50">
        <v>45</v>
      </c>
      <c r="G50" s="66">
        <f t="shared" si="9"/>
        <v>32473.49681793249</v>
      </c>
      <c r="I50" s="13">
        <f t="shared" si="3"/>
        <v>45533.727209536337</v>
      </c>
      <c r="K50" s="94">
        <f t="shared" si="4"/>
        <v>721.63326262072133</v>
      </c>
      <c r="L50" s="13">
        <f t="shared" si="8"/>
        <v>227.6686360476817</v>
      </c>
      <c r="M50" s="13">
        <f t="shared" si="7"/>
        <v>45039.762582963296</v>
      </c>
    </row>
    <row r="51" spans="6:13" x14ac:dyDescent="0.25">
      <c r="F51">
        <v>46</v>
      </c>
      <c r="G51" s="66">
        <f t="shared" si="9"/>
        <v>33195.130080553208</v>
      </c>
      <c r="I51" s="13">
        <f t="shared" si="3"/>
        <v>45039.762582963296</v>
      </c>
      <c r="K51" s="94">
        <f t="shared" si="4"/>
        <v>721.63326262072133</v>
      </c>
      <c r="L51" s="13">
        <f t="shared" si="8"/>
        <v>225.19881291481647</v>
      </c>
      <c r="M51" s="13">
        <f t="shared" si="7"/>
        <v>44543.32813325739</v>
      </c>
    </row>
    <row r="52" spans="6:13" x14ac:dyDescent="0.25">
      <c r="F52">
        <v>47</v>
      </c>
      <c r="G52" s="66">
        <f t="shared" si="9"/>
        <v>33916.76334317393</v>
      </c>
      <c r="I52" s="13">
        <f t="shared" si="3"/>
        <v>44543.32813325739</v>
      </c>
      <c r="K52" s="94">
        <f t="shared" si="4"/>
        <v>721.63326262072133</v>
      </c>
      <c r="L52" s="13">
        <f t="shared" si="8"/>
        <v>222.71664066628696</v>
      </c>
      <c r="M52" s="13">
        <f t="shared" si="7"/>
        <v>44044.411511302955</v>
      </c>
    </row>
    <row r="53" spans="6:13" x14ac:dyDescent="0.25">
      <c r="F53">
        <v>48</v>
      </c>
      <c r="G53" s="66">
        <f t="shared" si="9"/>
        <v>34638.396605794653</v>
      </c>
      <c r="I53" s="13">
        <f t="shared" si="3"/>
        <v>44044.411511302955</v>
      </c>
      <c r="K53" s="94">
        <f t="shared" si="4"/>
        <v>721.63326262072133</v>
      </c>
      <c r="L53" s="13">
        <f t="shared" si="8"/>
        <v>220.22205755651478</v>
      </c>
      <c r="M53" s="13">
        <f t="shared" si="7"/>
        <v>43543.000306238748</v>
      </c>
    </row>
    <row r="54" spans="6:13" x14ac:dyDescent="0.25">
      <c r="F54">
        <v>49</v>
      </c>
      <c r="G54" s="66">
        <f t="shared" si="9"/>
        <v>35360.029868415375</v>
      </c>
      <c r="I54" s="13">
        <f t="shared" si="3"/>
        <v>43543.000306238748</v>
      </c>
      <c r="K54" s="94">
        <f t="shared" si="4"/>
        <v>721.63326262072133</v>
      </c>
      <c r="L54" s="13">
        <f t="shared" si="8"/>
        <v>217.71500153119374</v>
      </c>
      <c r="M54" s="13">
        <f t="shared" si="7"/>
        <v>43039.082045149218</v>
      </c>
    </row>
    <row r="55" spans="6:13" x14ac:dyDescent="0.25">
      <c r="F55">
        <v>50</v>
      </c>
      <c r="G55" s="66">
        <f t="shared" si="9"/>
        <v>36081.663131036097</v>
      </c>
      <c r="I55" s="13">
        <f t="shared" si="3"/>
        <v>43039.082045149218</v>
      </c>
      <c r="K55" s="94">
        <f t="shared" si="4"/>
        <v>721.63326262072133</v>
      </c>
      <c r="L55" s="13">
        <f t="shared" si="8"/>
        <v>215.19541022574609</v>
      </c>
      <c r="M55" s="13">
        <f t="shared" si="7"/>
        <v>42532.64419275424</v>
      </c>
    </row>
    <row r="56" spans="6:13" x14ac:dyDescent="0.25">
      <c r="F56">
        <v>51</v>
      </c>
      <c r="G56" s="66">
        <f t="shared" si="9"/>
        <v>36803.296393656819</v>
      </c>
      <c r="I56" s="13">
        <f t="shared" si="3"/>
        <v>42532.64419275424</v>
      </c>
      <c r="K56" s="94">
        <f t="shared" si="4"/>
        <v>721.63326262072133</v>
      </c>
      <c r="L56" s="13">
        <f t="shared" si="8"/>
        <v>212.66322096377121</v>
      </c>
      <c r="M56" s="13">
        <f t="shared" si="7"/>
        <v>42023.674151097286</v>
      </c>
    </row>
    <row r="57" spans="6:13" x14ac:dyDescent="0.25">
      <c r="F57">
        <v>52</v>
      </c>
      <c r="G57" s="66">
        <f t="shared" si="9"/>
        <v>37524.929656277542</v>
      </c>
      <c r="I57" s="13">
        <f t="shared" si="3"/>
        <v>42023.674151097286</v>
      </c>
      <c r="K57" s="94">
        <f t="shared" si="4"/>
        <v>721.63326262072133</v>
      </c>
      <c r="L57" s="13">
        <f t="shared" si="8"/>
        <v>210.11837075548644</v>
      </c>
      <c r="M57" s="13">
        <f t="shared" si="7"/>
        <v>41512.159259232052</v>
      </c>
    </row>
    <row r="58" spans="6:13" x14ac:dyDescent="0.25">
      <c r="F58">
        <v>53</v>
      </c>
      <c r="G58" s="66">
        <f t="shared" si="9"/>
        <v>38246.562918898264</v>
      </c>
      <c r="I58" s="13">
        <f t="shared" si="3"/>
        <v>41512.159259232052</v>
      </c>
      <c r="K58" s="94">
        <f t="shared" si="4"/>
        <v>721.63326262072133</v>
      </c>
      <c r="L58" s="13">
        <f t="shared" si="8"/>
        <v>207.56079629616028</v>
      </c>
      <c r="M58" s="13">
        <f t="shared" si="7"/>
        <v>40998.086792907488</v>
      </c>
    </row>
    <row r="59" spans="6:13" x14ac:dyDescent="0.25">
      <c r="F59">
        <v>54</v>
      </c>
      <c r="G59" s="66">
        <f t="shared" si="9"/>
        <v>38968.196181518986</v>
      </c>
      <c r="I59" s="13">
        <f t="shared" si="3"/>
        <v>40998.086792907488</v>
      </c>
      <c r="K59" s="94">
        <f t="shared" si="4"/>
        <v>721.63326262072133</v>
      </c>
      <c r="L59" s="13">
        <f t="shared" si="8"/>
        <v>204.99043396453746</v>
      </c>
      <c r="M59" s="13">
        <f t="shared" si="7"/>
        <v>40481.443964251303</v>
      </c>
    </row>
    <row r="60" spans="6:13" x14ac:dyDescent="0.25">
      <c r="F60">
        <v>55</v>
      </c>
      <c r="G60" s="66">
        <f t="shared" si="9"/>
        <v>39689.829444139708</v>
      </c>
      <c r="I60" s="13">
        <f t="shared" si="3"/>
        <v>40481.443964251303</v>
      </c>
      <c r="K60" s="94">
        <f t="shared" si="4"/>
        <v>721.63326262072133</v>
      </c>
      <c r="L60" s="13">
        <f t="shared" si="8"/>
        <v>202.40721982125652</v>
      </c>
      <c r="M60" s="13">
        <f t="shared" si="7"/>
        <v>39962.21792145184</v>
      </c>
    </row>
    <row r="61" spans="6:13" x14ac:dyDescent="0.25">
      <c r="F61">
        <v>56</v>
      </c>
      <c r="G61" s="66">
        <f t="shared" si="9"/>
        <v>40411.462706760431</v>
      </c>
      <c r="I61" s="13">
        <f t="shared" si="3"/>
        <v>39962.21792145184</v>
      </c>
      <c r="K61" s="94">
        <f t="shared" si="4"/>
        <v>721.63326262072133</v>
      </c>
      <c r="L61" s="13">
        <f t="shared" si="8"/>
        <v>199.81108960725919</v>
      </c>
      <c r="M61" s="13">
        <f t="shared" si="7"/>
        <v>39440.395748438379</v>
      </c>
    </row>
    <row r="62" spans="6:13" x14ac:dyDescent="0.25">
      <c r="F62">
        <v>57</v>
      </c>
      <c r="G62" s="66">
        <f t="shared" si="9"/>
        <v>41133.095969381153</v>
      </c>
      <c r="I62" s="13">
        <f t="shared" si="3"/>
        <v>39440.395748438379</v>
      </c>
      <c r="K62" s="94">
        <f t="shared" si="4"/>
        <v>721.63326262072133</v>
      </c>
      <c r="L62" s="13">
        <f t="shared" si="8"/>
        <v>197.2019787421919</v>
      </c>
      <c r="M62" s="13">
        <f t="shared" si="7"/>
        <v>38915.964464559846</v>
      </c>
    </row>
    <row r="63" spans="6:13" x14ac:dyDescent="0.25">
      <c r="F63">
        <v>58</v>
      </c>
      <c r="G63" s="66">
        <f t="shared" si="9"/>
        <v>41854.729232001875</v>
      </c>
      <c r="I63" s="13">
        <f t="shared" si="3"/>
        <v>38915.964464559846</v>
      </c>
      <c r="K63" s="94">
        <f t="shared" si="4"/>
        <v>721.63326262072133</v>
      </c>
      <c r="L63" s="13">
        <f t="shared" si="8"/>
        <v>194.57982232279923</v>
      </c>
      <c r="M63" s="13">
        <f t="shared" si="7"/>
        <v>38388.911024261921</v>
      </c>
    </row>
    <row r="64" spans="6:13" ht="15.75" thickBot="1" x14ac:dyDescent="0.3">
      <c r="F64">
        <v>59</v>
      </c>
      <c r="G64" s="66">
        <f t="shared" si="9"/>
        <v>42576.362494622597</v>
      </c>
      <c r="I64" s="13">
        <f t="shared" si="3"/>
        <v>38388.911024261921</v>
      </c>
      <c r="K64" s="94">
        <f t="shared" si="4"/>
        <v>721.63326262072133</v>
      </c>
      <c r="L64" s="13">
        <f t="shared" si="8"/>
        <v>191.94455512130961</v>
      </c>
      <c r="M64" s="13">
        <f t="shared" si="7"/>
        <v>37859.222316762505</v>
      </c>
    </row>
    <row r="65" spans="6:14" ht="15.75" thickBot="1" x14ac:dyDescent="0.3">
      <c r="F65">
        <v>60</v>
      </c>
      <c r="G65" s="66">
        <f t="shared" si="9"/>
        <v>43297.99575724332</v>
      </c>
      <c r="I65" s="13">
        <f t="shared" si="3"/>
        <v>37859.222316762505</v>
      </c>
      <c r="K65" s="94">
        <f t="shared" si="4"/>
        <v>721.63326262072133</v>
      </c>
      <c r="L65" s="13">
        <f t="shared" si="8"/>
        <v>189.29611158381252</v>
      </c>
      <c r="M65" s="105">
        <f t="shared" si="7"/>
        <v>37326.885165725595</v>
      </c>
      <c r="N65" s="106" t="s">
        <v>118</v>
      </c>
    </row>
    <row r="66" spans="6:14" x14ac:dyDescent="0.25">
      <c r="K66" s="66">
        <f>SUM(K2:K65)</f>
        <v>43297.99575724332</v>
      </c>
      <c r="L66" s="66">
        <f>SUM(L1:L65)</f>
        <v>15624.880922968961</v>
      </c>
    </row>
  </sheetData>
  <sheetProtection selectLockedCell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Calc sheet</vt:lpstr>
      <vt:lpstr>Instructions</vt:lpstr>
      <vt:lpstr>Fuel Calcs</vt:lpstr>
      <vt:lpstr>data sheet</vt:lpstr>
      <vt:lpstr>Carbon</vt:lpstr>
      <vt:lpstr>Finance Costings</vt:lpstr>
      <vt:lpstr>existing</vt:lpstr>
      <vt:lpstr>'Calc sheet'!Print_Area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</dc:creator>
  <cp:lastModifiedBy>Glyn.Charles</cp:lastModifiedBy>
  <cp:lastPrinted>2011-03-17T11:42:19Z</cp:lastPrinted>
  <dcterms:created xsi:type="dcterms:W3CDTF">2011-02-03T15:57:50Z</dcterms:created>
  <dcterms:modified xsi:type="dcterms:W3CDTF">2014-01-16T15:59:30Z</dcterms:modified>
</cp:coreProperties>
</file>